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521" windowWidth="7200" windowHeight="10230" tabRatio="693" firstSheet="1" activeTab="7"/>
  </bookViews>
  <sheets>
    <sheet name="laroux" sheetId="1" state="veryHidden" r:id="rId1"/>
    <sheet name="Factor F " sheetId="2" r:id="rId2"/>
    <sheet name="Factor F ล่วงหน้า 15%" sheetId="3" r:id="rId3"/>
    <sheet name="สรุป ปร.6" sheetId="4" r:id="rId4"/>
    <sheet name="ปร-5 (ก)" sheetId="5" r:id="rId5"/>
    <sheet name="ปร-5 (ข) " sheetId="6" r:id="rId6"/>
    <sheet name="สรุปหมวดงาน" sheetId="7" r:id="rId7"/>
    <sheet name="รายการ 9893" sheetId="8" r:id="rId8"/>
    <sheet name="recheck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AC1">'[1]สรุป'!$C$307</definedName>
    <definedName name="_Fill" localSheetId="1" hidden="1">'[6]PL'!#REF!</definedName>
    <definedName name="_Fill" localSheetId="2" hidden="1">'[6]PL'!#REF!</definedName>
    <definedName name="_Fill" hidden="1">'[2]PL'!#REF!</definedName>
    <definedName name="_xlfn.BAHTTEXT" hidden="1">#NAME?</definedName>
    <definedName name="aa" hidden="1">{"'SUMMATION'!$B$2:$I$2"}</definedName>
    <definedName name="aaa" hidden="1">{"'SUMMATION'!$B$2:$I$2"}</definedName>
    <definedName name="CCTV" localSheetId="1">'[3]boq'!#REF!</definedName>
    <definedName name="CCTV">'[3]boq'!#REF!</definedName>
    <definedName name="DB12_MM." localSheetId="1">#REF!</definedName>
    <definedName name="DB12_MM.">#REF!</definedName>
    <definedName name="DB16_MM." localSheetId="1">#REF!</definedName>
    <definedName name="DB16_MM.">#REF!</definedName>
    <definedName name="DB20_MM." localSheetId="1">#REF!</definedName>
    <definedName name="DB20_MM.">#REF!</definedName>
    <definedName name="DB25_MM." localSheetId="1">#REF!</definedName>
    <definedName name="DB25_MM.">#REF!</definedName>
    <definedName name="DB28_MM." localSheetId="1">#REF!</definedName>
    <definedName name="DB28_MM.">#REF!</definedName>
    <definedName name="FAC1">'[1]สรุป'!$C$307</definedName>
    <definedName name="factor_table" localSheetId="1">#REF!</definedName>
    <definedName name="factor_table" localSheetId="2">#REF!</definedName>
    <definedName name="factor_table">#REF!</definedName>
    <definedName name="HTML_CodePage" hidden="1">874</definedName>
    <definedName name="HTML_Control" localSheetId="1" hidden="1">{"'SUMMATION'!$B$2:$I$2"}</definedName>
    <definedName name="HTML_Control" localSheetId="2" hidden="1">{"'SUMMATION'!$B$2:$I$2"}</definedName>
    <definedName name="HTML_Control" localSheetId="6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ATV" localSheetId="1">'[3]boq'!#REF!</definedName>
    <definedName name="MATV">'[3]boq'!#REF!</definedName>
    <definedName name="MATV1" localSheetId="1">'[3]boq'!#REF!</definedName>
    <definedName name="MATV1">'[3]boq'!#REF!</definedName>
    <definedName name="_xlnm.Print_Area" localSheetId="7">'รายการ 9893'!$B$2:$K$808</definedName>
    <definedName name="_xlnm.Print_Area" localSheetId="3">'สรุป ปร.6'!$B$2:$J$47</definedName>
    <definedName name="_xlnm.Print_Area" localSheetId="6">'สรุปหมวดงาน'!$B$1:$G$73</definedName>
    <definedName name="PRINT_AREA_MI" localSheetId="1">'[5]LOTUS-EE1'!#REF!</definedName>
    <definedName name="PRINT_AREA_MI">'[5]LOTUS-EE1'!#REF!</definedName>
    <definedName name="_xlnm.Print_Titles" localSheetId="7">'รายการ 9893'!$49:$52</definedName>
    <definedName name="_xlnm.Print_Titles" localSheetId="6">'สรุปหมวดงาน'!$1:$5</definedName>
    <definedName name="WALL" localSheetId="6" hidden="1">{"'SUMMATION'!$B$2:$I$2"}</definedName>
    <definedName name="WALL" hidden="1">{"'SUMMATION'!$B$2:$I$2"}</definedName>
    <definedName name="WEIGHT" localSheetId="1">#REF!</definedName>
    <definedName name="WEIGHT">#REF!</definedName>
    <definedName name="กราวน์" localSheetId="1">'[3]boq'!#REF!</definedName>
    <definedName name="กราวน์">'[3]boq'!#REF!</definedName>
    <definedName name="โครงการ__อาคาร_พักแพทย์_พยาบาล_เภสัชกร_และ_ทันตแพทย์">#REF!</definedName>
    <definedName name="ใบ" localSheetId="6" hidden="1">{"'SUMMATION'!$B$2:$I$2"}</definedName>
    <definedName name="ใบ" hidden="1">{"'SUMMATION'!$B$2:$I$2"}</definedName>
    <definedName name="ปก32" hidden="1">{"'SUMMATION'!$B$2:$I$2"}</definedName>
    <definedName name="ภาพและเสียง" localSheetId="1">'[3]boq'!#REF!</definedName>
    <definedName name="ภาพและเสียง">'[3]boq'!#REF!</definedName>
    <definedName name="แสง" localSheetId="1">'[3]boq'!#REF!</definedName>
    <definedName name="แสง">'[3]boq'!#REF!</definedName>
    <definedName name="แสงสว่างห้องประชุม" localSheetId="1">'[3]boq'!#REF!</definedName>
    <definedName name="แสงสว่างห้องประชุม">'[3]boq'!#REF!</definedName>
  </definedNames>
  <calcPr fullCalcOnLoad="1"/>
</workbook>
</file>

<file path=xl/comments5.xml><?xml version="1.0" encoding="utf-8"?>
<comments xmlns="http://schemas.openxmlformats.org/spreadsheetml/2006/main">
  <authors>
    <author>kit</author>
    <author>กิตต์</author>
  </authors>
  <commentList>
    <comment ref="L15" authorId="0">
      <text>
        <r>
          <rPr>
            <b/>
            <sz val="9"/>
            <rFont val="Tahoma"/>
            <family val="2"/>
          </rPr>
          <t>kit: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เพิ่ม 1.5%</t>
        </r>
      </text>
    </comment>
    <comment ref="K17" authorId="1">
      <text>
        <r>
          <rPr>
            <b/>
            <sz val="9"/>
            <rFont val="Tahoma"/>
            <family val="2"/>
          </rPr>
          <t xml:space="preserve">กิตต์:
</t>
        </r>
        <r>
          <rPr>
            <sz val="9"/>
            <rFont val="Tahoma"/>
            <family val="2"/>
          </rPr>
          <t>กรอกค่า Factor F</t>
        </r>
      </text>
    </comment>
  </commentList>
</comments>
</file>

<file path=xl/comments6.xml><?xml version="1.0" encoding="utf-8"?>
<comments xmlns="http://schemas.openxmlformats.org/spreadsheetml/2006/main">
  <authors>
    <author>kit</author>
    <author>กิตต์</author>
  </authors>
  <commentList>
    <comment ref="L11" authorId="0">
      <text>
        <r>
          <rPr>
            <b/>
            <sz val="9"/>
            <rFont val="Tahoma"/>
            <family val="2"/>
          </rPr>
          <t>kit: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เพิ่ม 1.5%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กิตต์:
</t>
        </r>
        <r>
          <rPr>
            <sz val="9"/>
            <rFont val="Tahoma"/>
            <family val="2"/>
          </rPr>
          <t>กรอกค่า Factor F</t>
        </r>
      </text>
    </comment>
    <comment ref="K18" authorId="1">
      <text>
        <r>
          <rPr>
            <b/>
            <sz val="9"/>
            <rFont val="Tahoma"/>
            <family val="2"/>
          </rPr>
          <t xml:space="preserve">กิตต์:
</t>
        </r>
        <r>
          <rPr>
            <sz val="9"/>
            <rFont val="Tahoma"/>
            <family val="2"/>
          </rPr>
          <t>กรอกค่า Factor F</t>
        </r>
      </text>
    </comment>
  </commentList>
</comments>
</file>

<file path=xl/sharedStrings.xml><?xml version="1.0" encoding="utf-8"?>
<sst xmlns="http://schemas.openxmlformats.org/spreadsheetml/2006/main" count="1867" uniqueCount="1035">
  <si>
    <t>งานถังเก็บน้ำใต้ดินและห้องเครื่อง</t>
  </si>
  <si>
    <t xml:space="preserve"> - ไม้แบบ (ใช้ 50% ของทั้งหมด)</t>
  </si>
  <si>
    <t xml:space="preserve"> - ไม้คร่าวยึดไม้แบบ</t>
  </si>
  <si>
    <t xml:space="preserve"> - ค่าแรงประกอบไม้แบบ (คิด 100% )</t>
  </si>
  <si>
    <t>คอนกรีตโครงสร้าง ( คอนกรีตผสมเสร็จ )   - 240 KSC</t>
  </si>
  <si>
    <t>กก.</t>
  </si>
  <si>
    <t>คอนกรีตโครงสร้าง ( คอนกรีตผสมเสร็จ )   - 280 KSC</t>
  </si>
  <si>
    <t>WATER STOP 6"</t>
  </si>
  <si>
    <t>เหล็ก C 150 x 50 x 20 x3.2 mm.</t>
  </si>
  <si>
    <t>งานหลังคาห้องเครื่องและอื่นๆ</t>
  </si>
  <si>
    <t>เชิงชายไม้ ขนาด 1 1/2" x 8"</t>
  </si>
  <si>
    <t>F6.3</t>
  </si>
  <si>
    <t>F3.2</t>
  </si>
  <si>
    <t>ชานพักกระเบื้องดินเผาสลับทรายล้าง</t>
  </si>
  <si>
    <t>ช่องมองกระจกกันรังสี ขนาด 12" x 12"</t>
  </si>
  <si>
    <t>ราวม่านอลูมิเนียมสำเร็จรูป</t>
  </si>
  <si>
    <t>แผ่นชิบบอร์ดผิวไม้สัก</t>
  </si>
  <si>
    <t>ขนาด 2.60 x 4.20 ม.</t>
  </si>
  <si>
    <t>ขนาด 2.60 x 2.70 ม.</t>
  </si>
  <si>
    <t>ราวม่านสำเร็จรูป</t>
  </si>
  <si>
    <t>บันไดลิง</t>
  </si>
  <si>
    <t>ฝาแท๊งน้ำสแตนเลส ขนาด 0.90 x 0.90 ม.</t>
  </si>
  <si>
    <t>บันไดขึ้นแท๊งน้ำ</t>
  </si>
  <si>
    <t>SCUB SINK ชนิดเปิดด้วยเข่า</t>
  </si>
  <si>
    <t>กันซึมชนิดทาผิว</t>
  </si>
  <si>
    <t>บานพับ 5" x 4"</t>
  </si>
  <si>
    <t>ยางกันชน</t>
  </si>
  <si>
    <t>กันชนลูกปืนประกบเดือย</t>
  </si>
  <si>
    <t>กลอน 6"</t>
  </si>
  <si>
    <t>กระจกชา 6 มม.</t>
  </si>
  <si>
    <t>กระจกลายผ้า 6 มม.</t>
  </si>
  <si>
    <t>อุปกรณบานเลื่อนไม้</t>
  </si>
  <si>
    <t>กระจกใส 6 มม.</t>
  </si>
  <si>
    <t>ก่ออิฐมอญเต็มแผ่น</t>
  </si>
  <si>
    <t>GLASS BLOCK</t>
  </si>
  <si>
    <t>ฉาบปูนโครงสร้าง</t>
  </si>
  <si>
    <t>ผนังไม้อัดยาง 4 มม.กรุทับด้วยลามิเนต</t>
  </si>
  <si>
    <t>ผนังกระจกติดตายโครงเคร่าอลูมิเนียม</t>
  </si>
  <si>
    <t>ผนังสำเร็จรูป หนา 35 มม.โครงเคร่าอลูมิเนียม</t>
  </si>
  <si>
    <t>ผนังยิบซั่มบอร์ด 12 มม.กรุ 2 ด้าน โครงเคร่าเหล็กชุบสังกะสี</t>
  </si>
  <si>
    <t>ผนัง คสล.หนา 0.10 ม.</t>
  </si>
  <si>
    <t>ป t /1</t>
  </si>
  <si>
    <t>ป t /2</t>
  </si>
  <si>
    <t>ป t /10</t>
  </si>
  <si>
    <t>ป t /11'</t>
  </si>
  <si>
    <t>ป t /5'</t>
  </si>
  <si>
    <t>ป t /11'*</t>
  </si>
  <si>
    <t>ป4</t>
  </si>
  <si>
    <t>ป9</t>
  </si>
  <si>
    <t>ป15</t>
  </si>
  <si>
    <t>ป5</t>
  </si>
  <si>
    <t>3h</t>
  </si>
  <si>
    <t>2B'</t>
  </si>
  <si>
    <t>E'</t>
  </si>
  <si>
    <t>ป t / 6</t>
  </si>
  <si>
    <t>ป a / 2</t>
  </si>
  <si>
    <t>4h</t>
  </si>
  <si>
    <t>h</t>
  </si>
  <si>
    <t>B'*</t>
  </si>
  <si>
    <t>ป1'</t>
  </si>
  <si>
    <t>ปt /2'</t>
  </si>
  <si>
    <t>ป1</t>
  </si>
  <si>
    <t>ป2'</t>
  </si>
  <si>
    <t>ขนาด 1.00 x 2.60 ม.</t>
  </si>
  <si>
    <t>ขนาด 2 (0.90 x 2.60 ) ม.</t>
  </si>
  <si>
    <t>ขนาด 1.20 x 2.00 ม.</t>
  </si>
  <si>
    <t>ขนาด 2 (0.90 x 2.00 ) ม.</t>
  </si>
  <si>
    <t>ขนาด 2 (0.80 x 2.00 ) ม.</t>
  </si>
  <si>
    <t>ขนาด 1.40 x 2.00 ม.</t>
  </si>
  <si>
    <t>ขนาด 1.05 x 2.00 ม.</t>
  </si>
  <si>
    <t>ขนาด 3 (0.60 x 0.60 ) ม.</t>
  </si>
  <si>
    <t>ขนาด 2 (0.60 x 0.60 ) ม.</t>
  </si>
  <si>
    <t>ขนาด 1.50 x 1.10 ม.</t>
  </si>
  <si>
    <t>ขนาด 3.00 x 1.10 ม.</t>
  </si>
  <si>
    <t>ขนาด 1.10 x 1.10 ม.</t>
  </si>
  <si>
    <t>ขนาด 4.00 x 2.60 ม.</t>
  </si>
  <si>
    <t>ขนาด 2 (0.60 x 1.10 ) ม.</t>
  </si>
  <si>
    <t>ขนาด 4 (0.60 x 0.60) ม.</t>
  </si>
  <si>
    <t>ขนาด 1.10 x 2.00 ม.</t>
  </si>
  <si>
    <t>ขนาด 1.00 x 2.00 ม.</t>
  </si>
  <si>
    <t xml:space="preserve"> ( ราคาอยู่ในงานวงกบ-กระจก-อุปกรณ์ )</t>
  </si>
  <si>
    <t xml:space="preserve">สีโครงหลังคา </t>
  </si>
  <si>
    <t>ท่อน้ำยา</t>
  </si>
  <si>
    <t>ท่อน้ำทิ้ง</t>
  </si>
  <si>
    <t>ท่อส่งลมเย็น</t>
  </si>
  <si>
    <t>ตร.ฟุต</t>
  </si>
  <si>
    <t>ท่อลมระบายอากาศ PVC dia 4 "</t>
  </si>
  <si>
    <t>RAG</t>
  </si>
  <si>
    <t>25" x 6"</t>
  </si>
  <si>
    <t>30" x 20"</t>
  </si>
  <si>
    <t>( 30" x 60" ) x 2</t>
  </si>
  <si>
    <t>36" x 20"</t>
  </si>
  <si>
    <t>TAG</t>
  </si>
  <si>
    <t>20" x 14"</t>
  </si>
  <si>
    <t>EAG</t>
  </si>
  <si>
    <t>4" x 4"</t>
  </si>
  <si>
    <t>10" x 4"</t>
  </si>
  <si>
    <t>CD</t>
  </si>
  <si>
    <t>400  CFM</t>
  </si>
  <si>
    <t>13</t>
  </si>
  <si>
    <t>600  CFM</t>
  </si>
  <si>
    <t>14</t>
  </si>
  <si>
    <t>800  CFM</t>
  </si>
  <si>
    <t>15</t>
  </si>
  <si>
    <t>HEPE FILTER  24" x24"</t>
  </si>
  <si>
    <t>16</t>
  </si>
  <si>
    <t>HEPE FILTER  48" x24"</t>
  </si>
  <si>
    <t>17</t>
  </si>
  <si>
    <t>ROOM  THERMOSTAT</t>
  </si>
  <si>
    <t>18</t>
  </si>
  <si>
    <t>ROOM  THERMOSTAT W/ON-OFF SWITCH &amp;</t>
  </si>
  <si>
    <t>FAN SPEED</t>
  </si>
  <si>
    <t>19</t>
  </si>
  <si>
    <t>20</t>
  </si>
  <si>
    <t>21</t>
  </si>
  <si>
    <t>22</t>
  </si>
  <si>
    <t>SAFETY SWITCH  20 A 1P</t>
  </si>
  <si>
    <t>23</t>
  </si>
  <si>
    <t>SAFETY SWITCH  30 A 3P</t>
  </si>
  <si>
    <t>24</t>
  </si>
  <si>
    <t>เดินสายร้อยท่อสำหรับกล่องต่อสาย</t>
  </si>
  <si>
    <t>เดินท่อร้อยสายสำหรับเครื่องปรับอากาศ</t>
  </si>
  <si>
    <t>25</t>
  </si>
  <si>
    <t>เครื่องปรับอากาศแบบแยกส่วน ชนิดติดผนัง</t>
  </si>
  <si>
    <t>ขนาด</t>
  </si>
  <si>
    <t xml:space="preserve"> 9,000  BTU</t>
  </si>
  <si>
    <t>24,000  BTU</t>
  </si>
  <si>
    <t>เครื่องปรับอากาศแบบแยกส่วน ชนิดแขวน</t>
  </si>
  <si>
    <t>12,000  BTU</t>
  </si>
  <si>
    <t>13,000  BTU</t>
  </si>
  <si>
    <t>18,000  BTU</t>
  </si>
  <si>
    <t>30,000  BTU</t>
  </si>
  <si>
    <t>36,000  BTU</t>
  </si>
  <si>
    <t>เครื่องปรับอากาศแบบแยกส่วน ชนิดท่อลม</t>
  </si>
  <si>
    <t>60,000  BTU</t>
  </si>
  <si>
    <t>252,000  BTU</t>
  </si>
  <si>
    <t>พัดลมระบายอากาศติดเพดาน ขนาด  80 CFM</t>
  </si>
  <si>
    <t>พัดลมระบายอากาศติดเพดาน ขนาด 120 CFM</t>
  </si>
  <si>
    <t>พัดลมระบายอากาศติดเพดาน ขนาด 240 CFM</t>
  </si>
  <si>
    <t xml:space="preserve">พัดลมระบายอากาศแบบ AXIAL FLOW ขนาด </t>
  </si>
  <si>
    <t>350 CFM</t>
  </si>
  <si>
    <t>พัดลมโคจร dia 16" แบบติดผนัง</t>
  </si>
  <si>
    <t>พัดลมโคจร dia 16" แบบติดเพดาน</t>
  </si>
  <si>
    <t>ป้ายแสดงทางหนีไฟ</t>
  </si>
  <si>
    <t>สีพ่น ELEGANCE TILE</t>
  </si>
  <si>
    <t xml:space="preserve">ช่องแสงกระจก T </t>
  </si>
  <si>
    <t>สีน้ำมัน</t>
  </si>
  <si>
    <t>ช่องลมใต้อาคารบานเหล็ก ขนาด 0.65 x 0.35 ม.</t>
  </si>
  <si>
    <t>หน้าต่างบานเปิดระบายลมหน้าจั่ว</t>
  </si>
  <si>
    <t>ขนาด 1.20 x 1.50 ม.</t>
  </si>
  <si>
    <t>ขนาด 0.70 x 0.90 ม.</t>
  </si>
  <si>
    <t xml:space="preserve">ราคาค่าวัสดุ สำนักดัชนีเศรษฐกิจการค้า  กระทรวงพาณิชย์  กรุงเทพฯ  ประจำเดือน  </t>
  </si>
  <si>
    <t xml:space="preserve">หมายเหตุ :  </t>
  </si>
  <si>
    <t xml:space="preserve"> - ปริมาณงานใน BOQ.นี้ไม่สามารถนำไปใช้อ้างอิงในการก่อสร้างจริงได้ ผู้เสนอราคาต้องเสนอตามแบบรูป</t>
  </si>
  <si>
    <t xml:space="preserve">   และเอกสารรายการประกอบแบบที่กำหนด</t>
  </si>
  <si>
    <t xml:space="preserve"> - บัญชีแสดงปริมาณวัสดุเป็นเอกสารราชการกองแบบแผน  กรมสนับสนุนบริการสุขภาพ</t>
  </si>
  <si>
    <t xml:space="preserve">   ใช้เป็นราคาเพื่อประกอบแบบรูปและรายการในการขอตั้งงบประมาณเท่านั้น</t>
  </si>
  <si>
    <t>ราวสแตนเลสคนพิการ สำหรับโถส้วม</t>
  </si>
  <si>
    <t>ราวสแตนเลสคนพิการ สำหรับอ่างล้างหน้า</t>
  </si>
  <si>
    <t>ราวสแตนเลสคนพิการ สำหรับโถปัสสาวะชาย</t>
  </si>
  <si>
    <t>COLDWATER PUMP: END SUCTION CENTRIFUGAL</t>
  </si>
  <si>
    <t>PUMP. CAP.=30 Cu.M./Hr.,TDH.=32 M.,AT 3000 RPM.</t>
  </si>
  <si>
    <t>แผงควบคุมเครื่องปรับอากาศ</t>
  </si>
  <si>
    <t>เดินท่อร้อยสายสำหรับพัดลม</t>
  </si>
  <si>
    <t>สวิทช์ควบคุมพัดลมระบายอากาศ</t>
  </si>
  <si>
    <t>เคลือบทับด้วย CERAMIC COATING 300 ไมคอน</t>
  </si>
  <si>
    <t xml:space="preserve"> ส่วนราชการ  กองแบบแผน  กรมสนับสนุนบริการสุขภาพ    กระทรวงสาธารณสุข   </t>
  </si>
  <si>
    <t>สถานที่ก่อสร้าง</t>
  </si>
  <si>
    <t xml:space="preserve">หน่วยงานออกแบบแปลนและรายการ   </t>
  </si>
  <si>
    <t>กองแบบแผน  กรมสนับสนุนบริการสุขภาพ</t>
  </si>
  <si>
    <t>ประมาณราคาตามแบบ     ปร.4</t>
  </si>
  <si>
    <t xml:space="preserve">จำนวน  </t>
  </si>
  <si>
    <t>แผ่น</t>
  </si>
  <si>
    <t xml:space="preserve">จำนวนชั้น </t>
  </si>
  <si>
    <t>ลำดับที่</t>
  </si>
  <si>
    <t>ไม่ตอกเสาเข็ม</t>
  </si>
  <si>
    <t>ค่างานส่วนที่ 1 ค่าวัสดุและค่าแรงงานหมวดงานก่อสร้าง (ทุน)</t>
  </si>
  <si>
    <t xml:space="preserve">     ราคารวมค่า  Factor  F</t>
  </si>
  <si>
    <t>ค่างานส่วนที่ 2 หมวดงานครุภัณฑ์สั่งซื้อหรือจัดซื้อ</t>
  </si>
  <si>
    <t>7 %</t>
  </si>
  <si>
    <t xml:space="preserve">ค่างานส่วนที่ 3  ค่าใช้จ่ายพิเศษตามข้อกำหนด (ถ้ามี) </t>
  </si>
  <si>
    <t>รวมค่าก่อสร้าง</t>
  </si>
  <si>
    <t>รวมค่าก่อสร้างเป็นเงินทั้งสิ้นประมาณ</t>
  </si>
  <si>
    <t xml:space="preserve">เฉลี่ยราคา </t>
  </si>
  <si>
    <t>บาท / ตร.ม.</t>
  </si>
  <si>
    <t>แบบสรุปค่าก่อสร้างของงานก่อสร้างอาคาร</t>
  </si>
  <si>
    <t>ราคาฐานรากชนิด</t>
  </si>
  <si>
    <t xml:space="preserve">จำนวน 4 ชั้น 4 ประตู  </t>
  </si>
  <si>
    <t>ลิฟท์เตียงคนไข้(คนพิการ) ขนาด 1,000 ก.ก.</t>
  </si>
  <si>
    <t>ส่วนที่ 1  ค่าวัสดุและค่าแรงงานหมวดงานก่อสร้าง (ทุน)</t>
  </si>
  <si>
    <t>(คิดเฉพาะค่าวัสดุและค่าแรงงานหรือทุนซึ่งยังไม่รวมค่าอำนวยการ ดอกเบี้ย กำไร และภาษี)</t>
  </si>
  <si>
    <t>1.2.2   หมวดงานฝ้าเพดาน</t>
  </si>
  <si>
    <t>1.2.3   หมวดงานผิวพื้น</t>
  </si>
  <si>
    <t xml:space="preserve">  </t>
  </si>
  <si>
    <t>รวมค่างานกลุ่มงานที่ 1</t>
  </si>
  <si>
    <t>รวมค่างานกลุ่มงานที่ 2</t>
  </si>
  <si>
    <t>รวมค่างานกลุ่มงานที่ 3</t>
  </si>
  <si>
    <t>งานภูมิทัศน์</t>
  </si>
  <si>
    <t>รวมค่างานส่วนที่ 1</t>
  </si>
  <si>
    <t>รวมค่างานส่วนที่ 2</t>
  </si>
  <si>
    <t xml:space="preserve">ส่วนที่ 3  ค่าใช้จ่ายพิเศษตามข้อกำหนด (ถ้ามี) </t>
  </si>
  <si>
    <t>หมวดค่าใช้จ่ายพิเศษตามข้อกำหนด เงื่อนไข และความจำเป็นต้องมี</t>
  </si>
  <si>
    <t>รวมค่างานส่วนที่ 3</t>
  </si>
  <si>
    <t xml:space="preserve">โครงการก่อสร้าง  </t>
  </si>
  <si>
    <t>ดอกเบี้ยเงินกู้</t>
  </si>
  <si>
    <t>ค่างานต้นทุน</t>
  </si>
  <si>
    <t>Factor F</t>
  </si>
  <si>
    <t>บัญชีแสดงปริมาณวัสดุและราคา</t>
  </si>
  <si>
    <t xml:space="preserve">โครงการก่อสร้าง </t>
  </si>
  <si>
    <t xml:space="preserve"> </t>
  </si>
  <si>
    <t xml:space="preserve">สถานที่ก่อสร้าง </t>
  </si>
  <si>
    <t>พื้นที่อาคาร</t>
  </si>
  <si>
    <t>ตร.ม.</t>
  </si>
  <si>
    <t>ชั้น</t>
  </si>
  <si>
    <t>ลำดับ</t>
  </si>
  <si>
    <t>หมายเหตุ</t>
  </si>
  <si>
    <t>โครงการก่อสร้าง</t>
  </si>
  <si>
    <t xml:space="preserve">สถานที่ก่อสร้าง  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</si>
  <si>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</si>
  <si>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</si>
  <si>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</si>
  <si>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</si>
  <si>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</si>
  <si>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</si>
  <si>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</si>
  <si>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</si>
  <si>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ต้น</t>
  </si>
  <si>
    <t>ขุดดิน - ถมคืน</t>
  </si>
  <si>
    <t>ทรายรองฐานราก</t>
  </si>
  <si>
    <t>ไม้แบบ</t>
  </si>
  <si>
    <t>ตร.ม</t>
  </si>
  <si>
    <t>ตะปู</t>
  </si>
  <si>
    <t>ลวดผูกเหล็ก</t>
  </si>
  <si>
    <t>จุด</t>
  </si>
  <si>
    <t>รวม</t>
  </si>
  <si>
    <t>ฝ้ายิบซั่มบอร์ด 12 มม.โครงเคร่าเหล็กชุบสังกะสี</t>
  </si>
  <si>
    <t>ม</t>
  </si>
  <si>
    <t>ก่ออิฐมอญครึ่งแผ่น</t>
  </si>
  <si>
    <t>ฉาบปูนภายใน</t>
  </si>
  <si>
    <t>ฉาบปูนภายนอก</t>
  </si>
  <si>
    <t>งานตกแต่งบันได</t>
  </si>
  <si>
    <t xml:space="preserve"> - ST 1 </t>
  </si>
  <si>
    <t>ขั้นบันไดหินขัดกับที่ เบอร์ 3 - 4</t>
  </si>
  <si>
    <t>ชานพักบันไดหินขัด เบอร์ 3 - 4</t>
  </si>
  <si>
    <t>บัวเชิงผนังหินขัด</t>
  </si>
  <si>
    <t xml:space="preserve"> - ST 2 </t>
  </si>
  <si>
    <t xml:space="preserve"> - ST 3 </t>
  </si>
  <si>
    <t>ขั้นบันไดผิวทรายล้าง</t>
  </si>
  <si>
    <t>ชานพักผิวทรายล้าง</t>
  </si>
  <si>
    <t>บัวเชิงผนังทรายล้าง</t>
  </si>
  <si>
    <t>วงกบอลูมิเนียม สีชา 514</t>
  </si>
  <si>
    <t>ม.</t>
  </si>
  <si>
    <t>ชุด</t>
  </si>
  <si>
    <t>ลูกบิดประตู</t>
  </si>
  <si>
    <t>กระจกเกล็ด 4" x 0.60 ม.</t>
  </si>
  <si>
    <t>เกล็ด</t>
  </si>
  <si>
    <t>อุปกรณ์บานเกล็ด</t>
  </si>
  <si>
    <t>ป2</t>
  </si>
  <si>
    <t>ขนาด 0.90 x 2.00 ม.</t>
  </si>
  <si>
    <t>ป3</t>
  </si>
  <si>
    <t>ขนาด 0.80 x 2.00 ม.</t>
  </si>
  <si>
    <t>ป13</t>
  </si>
  <si>
    <t>ขนาด 3.00 x 2.00 ม.</t>
  </si>
  <si>
    <t>ป14</t>
  </si>
  <si>
    <t>ขนาด 0.90 x 2.60 ม.</t>
  </si>
  <si>
    <t>ป16</t>
  </si>
  <si>
    <t>B'</t>
  </si>
  <si>
    <t>F'</t>
  </si>
  <si>
    <t>ขนาด 0.60 x 1.10 ม.</t>
  </si>
  <si>
    <t>2h</t>
  </si>
  <si>
    <t>2F'</t>
  </si>
  <si>
    <t>สายฉีดชำระ</t>
  </si>
  <si>
    <t>ท่อน</t>
  </si>
  <si>
    <t>ราคาค่าก่อสร้างฐานรากชนิด</t>
  </si>
  <si>
    <t>เมตร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</si>
  <si>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</si>
  <si>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</si>
  <si>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</si>
  <si>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</si>
  <si>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</si>
  <si>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</si>
  <si>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</si>
  <si>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</si>
  <si>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</si>
  <si>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</si>
  <si>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</si>
  <si>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</si>
  <si>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ดวงโคม</t>
  </si>
  <si>
    <t xml:space="preserve">  -สวิทช์ไฟฟ้าทางเดียว 1S</t>
  </si>
  <si>
    <t xml:space="preserve">  -สวิทช์ไฟฟ้าทางเดียว 2S</t>
  </si>
  <si>
    <t xml:space="preserve">  -สวิทช์ไฟฟ้าทางเดียว 3S</t>
  </si>
  <si>
    <t xml:space="preserve">  -สวิทช์ไฟฟ้าทางเดียว 4S</t>
  </si>
  <si>
    <t xml:space="preserve">  -สวิทช์ไฟฟ้าทางเดียว 5S</t>
  </si>
  <si>
    <t>MINIATURE CB. W/ENCLOSSURE</t>
  </si>
  <si>
    <t>LOAD CENTER</t>
  </si>
  <si>
    <t xml:space="preserve">  -PB-1</t>
  </si>
  <si>
    <t xml:space="preserve">  -PB-2</t>
  </si>
  <si>
    <t xml:space="preserve">  -PB-3</t>
  </si>
  <si>
    <t xml:space="preserve">  -PB-4</t>
  </si>
  <si>
    <t>สายเมน</t>
  </si>
  <si>
    <t xml:space="preserve">  - NYY 185 SQ.MM.</t>
  </si>
  <si>
    <t xml:space="preserve">  - NYY 150 SQ.MM.</t>
  </si>
  <si>
    <t xml:space="preserve">  - THW 70 SQ.MM.</t>
  </si>
  <si>
    <t xml:space="preserve">  - THW 50 SQ.MM.</t>
  </si>
  <si>
    <t xml:space="preserve">  - THW 35 SQ.MM.</t>
  </si>
  <si>
    <t xml:space="preserve">  - THW 25 SQ.MM.</t>
  </si>
  <si>
    <t xml:space="preserve">  - THW 16 SQ.MM.</t>
  </si>
  <si>
    <t xml:space="preserve">  - THW 10 SQ.MM.</t>
  </si>
  <si>
    <t xml:space="preserve">  - THW 6 SQ.MM.</t>
  </si>
  <si>
    <t>ท่อร้อยสายเมน,รางเดินสาย</t>
  </si>
  <si>
    <t xml:space="preserve">  - DIA 3 " IMC</t>
  </si>
  <si>
    <t xml:space="preserve">  - DIA 2 1/2 " IMC</t>
  </si>
  <si>
    <t xml:space="preserve">  - DIA 2  " IMC</t>
  </si>
  <si>
    <t xml:space="preserve">  - อุปกรณ์ประกอบ</t>
  </si>
  <si>
    <t>OIL IMMMERSES (PLAT FORM</t>
  </si>
  <si>
    <t>TYPE) 22 KV/416V,3 PHASE,4W</t>
  </si>
  <si>
    <t>LIGHTNING EVENT COUNTER</t>
  </si>
  <si>
    <t>อุปกรณ์ประกอบ</t>
  </si>
  <si>
    <t>MDF</t>
  </si>
  <si>
    <t>TELEPHONE  OUTLET</t>
  </si>
  <si>
    <t>FIRE ALARM TERMINAL BOX</t>
  </si>
  <si>
    <t>L/S</t>
  </si>
  <si>
    <t xml:space="preserve">ระบบท่อระบายน้ำฝน </t>
  </si>
  <si>
    <t xml:space="preserve">ระบบประปา </t>
  </si>
  <si>
    <t xml:space="preserve">ABC. Dry Chemical Fire Exthinguisher  15 Lbs. </t>
  </si>
  <si>
    <t>เหมา</t>
  </si>
  <si>
    <t>เครื่อง</t>
  </si>
  <si>
    <t>แท่น</t>
  </si>
  <si>
    <t>ตู้</t>
  </si>
  <si>
    <t>WATER STOP 8"</t>
  </si>
  <si>
    <t>น้ำยากันซึม</t>
  </si>
  <si>
    <t>เหล็ก C 100 x 50 x 20 x3.2 mm.</t>
  </si>
  <si>
    <t xml:space="preserve">ขนาด 0.60 x 1.20 ม. </t>
  </si>
  <si>
    <t>ฝ้าASCOUSTIC BOARD 16 มม.โครงเคร่าอลูมิเนียม ทีบาร์</t>
  </si>
  <si>
    <t>ขนาด 0.60 x 0.60 ม.</t>
  </si>
  <si>
    <t>ฝ้าอลูมิเนียมตัวซี ติดตั้งชิดกัน โครงเคร่าเหล็กชุบสังกะสี</t>
  </si>
  <si>
    <t>พื้นผิวขัดมันเรียบ</t>
  </si>
  <si>
    <t>พื้นผิวแต่งเรียบ</t>
  </si>
  <si>
    <t>พื้นผิวแต่งเรียบฝักเหล็ก 1"นูนขึ้นจากพื้นตามรัศมีข้างละ</t>
  </si>
  <si>
    <t>พื้นผิวขัดมันเรียบผสมน้ำยากันซึม ทำผิวระบบกันซึมชนิดทา</t>
  </si>
  <si>
    <t>ความหนาไม่น้อยกว่า 600 ไมครอน</t>
  </si>
  <si>
    <t>เคาน์เตอร์ คสล. ขนาด 0.60 ม. บุหินแกรนิต</t>
  </si>
  <si>
    <t>กระจกเงากรอบอลูมิเนียม ขนาดกว้าง 0.80 ม.</t>
  </si>
  <si>
    <t>ผนังห้องน้ำพร้อมประตูสำเร็จรูป</t>
  </si>
  <si>
    <t>ถาดอาบน้ำพร้อมตู้อาบน้ำสำเร็จรูป</t>
  </si>
  <si>
    <t>รางพร้อมราวผ้าม่านพลาสติก</t>
  </si>
  <si>
    <t>F1</t>
  </si>
  <si>
    <t>F6</t>
  </si>
  <si>
    <t>ห้องลงทะเบียน</t>
  </si>
  <si>
    <t>F2</t>
  </si>
  <si>
    <t>ต้อนรับ</t>
  </si>
  <si>
    <t>ห้องจ่ายยา - จัดยา</t>
  </si>
  <si>
    <t>ห้องเก็บเงิน</t>
  </si>
  <si>
    <t>ห้องตรวจ</t>
  </si>
  <si>
    <t>ห้องฉีดยาทำแผล</t>
  </si>
  <si>
    <t>ห้องตรวจตา</t>
  </si>
  <si>
    <t>ห้องเข้าเผิอก</t>
  </si>
  <si>
    <t>ป/เสื้อผ้า</t>
  </si>
  <si>
    <t>ห้องเจ้าหน้าที่</t>
  </si>
  <si>
    <t>ห้องเครื่องมือ</t>
  </si>
  <si>
    <t>ป/เสื้อผ้าหญิง</t>
  </si>
  <si>
    <t>อุบัตืเหตุ ( พยาบาล )</t>
  </si>
  <si>
    <t>โถงพักคอย</t>
  </si>
  <si>
    <t>ชั้น 2</t>
  </si>
  <si>
    <t>ชั้น 1</t>
  </si>
  <si>
    <t>ห้องพักเจ้าหน้าที่</t>
  </si>
  <si>
    <t>ห้องพักแพทย์</t>
  </si>
  <si>
    <t>ห้องบริหาร</t>
  </si>
  <si>
    <t>ห้องการเงิน</t>
  </si>
  <si>
    <t>ห้อง LAB เจาะเลือด</t>
  </si>
  <si>
    <t>ห้องอุปกรณ์</t>
  </si>
  <si>
    <t>กลุ่มงานทันตกรรม</t>
  </si>
  <si>
    <t>ทำฟัน</t>
  </si>
  <si>
    <t>ล้างเครื่องมือ</t>
  </si>
  <si>
    <t>ชั้น 3</t>
  </si>
  <si>
    <t>ห้องทำงานพยาบาล 1</t>
  </si>
  <si>
    <t>ห้องทำงานพยาบาล 2</t>
  </si>
  <si>
    <t>โถงพักคอยญาติ</t>
  </si>
  <si>
    <t>ชั้น 4</t>
  </si>
  <si>
    <t>ตู้สูง ขนาด 0.60 x 5.55 x 2.00 ม.</t>
  </si>
  <si>
    <t>เคาน์เตอร์ทหงานขนาด  0.60 x 5.00 x 0.75 ม.</t>
  </si>
  <si>
    <t>เคาน์เตอร์ทำงานขนาด  0.60 x 6.65 x 0.75 ม.</t>
  </si>
  <si>
    <t>F1.1</t>
  </si>
  <si>
    <t>เคาน์เตอร์ทำงานขนาด  0.60 x 9.05 x 0.75 ม.</t>
  </si>
  <si>
    <t>F4</t>
  </si>
  <si>
    <t>ตู้เตี้ย คสล.ขนาด  0.60 x 2.00 x 0.80 ม.</t>
  </si>
  <si>
    <t>F1.2</t>
  </si>
  <si>
    <t>เคาน์เตอร์ทำงานขนาด  0.60 x 3.75 x 0.75 ม.</t>
  </si>
  <si>
    <t>ตู้เตี้ย คสล.ขนาด  0.60 x 13.80 x 0.80 ม.</t>
  </si>
  <si>
    <t>F4.1</t>
  </si>
  <si>
    <t>ตู้เตี้ย คสล.ขนาด  0.60 x 3.55 x 0.80 ม.</t>
  </si>
  <si>
    <t>F4.2</t>
  </si>
  <si>
    <t>F4.3</t>
  </si>
  <si>
    <t>ตู้เตี้ย คสล.ขนาด  0.60 x 3.90 x 0.80 ม.</t>
  </si>
  <si>
    <t>F4.4</t>
  </si>
  <si>
    <t>ตู้เตี้ย คสล.ขนาด  0.60 x 6.60 x 0.80 ม.</t>
  </si>
  <si>
    <t>F7</t>
  </si>
  <si>
    <t>LOCKER ขนาด 0.60x 2.10 x 2.00 ม.</t>
  </si>
  <si>
    <t>F2.1</t>
  </si>
  <si>
    <t>เคาน์เตอร์ทำงานขนาด  0.60 x 5.65 x 0.75 ม.</t>
  </si>
  <si>
    <t>F5</t>
  </si>
  <si>
    <t>ตู้เตี้ย ขนาด  0.60 x 2.90 x 0.80 ม.</t>
  </si>
  <si>
    <t>ตู้แขวน ขนาด  0.34 x 2.90 x 0.60 ม.</t>
  </si>
  <si>
    <t>F7.1</t>
  </si>
  <si>
    <t>LOCKER ขนาด 0.60x 3.05 x 2.00 ม.</t>
  </si>
  <si>
    <t>F2.2</t>
  </si>
  <si>
    <t>เคาน์เตอร์ทำงานขนาด  0.60 x 5.35 x 0.75 ม.</t>
  </si>
  <si>
    <t>F4.5</t>
  </si>
  <si>
    <t>ตู้เตี้ย คสล.ขนาด  0.60 x 3.40 x 0.80 ม.</t>
  </si>
  <si>
    <t>F5.1</t>
  </si>
  <si>
    <t>ตู้เตี้ย ขนาด  0.60 x 3.53 x 0.80 ม.</t>
  </si>
  <si>
    <t>ตู้แขวน ขนาด  0.34 x 2.40 x 0.60 ม.</t>
  </si>
  <si>
    <t>F6.1</t>
  </si>
  <si>
    <t>ตู้สูง ขนาด 0.60 x 1.80 x 1.80 ม.</t>
  </si>
  <si>
    <t>F5.2</t>
  </si>
  <si>
    <t>ตู้เตี้ย ขนาด  0.60 x 3.30 x 0.80 ม.</t>
  </si>
  <si>
    <t>ตู้แขวน ขนาด  0.34 x 3.30 x 0.60 ม.</t>
  </si>
  <si>
    <t>F5.3</t>
  </si>
  <si>
    <t>ตู้เตี้ย ขนาด  0.60 x 3.20 x 0.80 ม.</t>
  </si>
  <si>
    <t>ตู้แขวน ขนาด  0.34 x 3.20 x 0.60 ม.</t>
  </si>
  <si>
    <t>F1.3</t>
  </si>
  <si>
    <t>เคาน์เตอร์ทำงานขนาด  0.60 x 6.60 x 0.75 ม.</t>
  </si>
  <si>
    <t>F1.4</t>
  </si>
  <si>
    <t>F1.5</t>
  </si>
  <si>
    <t>เคาน์เตอร์ทำงานขนาด  0.60 x 3.00 x 0.75 ม.</t>
  </si>
  <si>
    <t>F4.6</t>
  </si>
  <si>
    <t>ตู้เตี้ย คสล.ขนาด  0.60 x 7.55 x 0.80 ม.</t>
  </si>
  <si>
    <t>F4.7</t>
  </si>
  <si>
    <t>ตู้เตี้ย คสล.ขนาด  0.60 x 2.55 x 0.80 ม.</t>
  </si>
  <si>
    <t>F4.8</t>
  </si>
  <si>
    <t>F2.3</t>
  </si>
  <si>
    <t>เคาน์เตอร์ทำงานขนาด  0.60 x 6.00 x 0.75 ม.</t>
  </si>
  <si>
    <t>F6.2</t>
  </si>
  <si>
    <t>ตู้สูง ขนาด 0.60 x 5.35 x 2.00 ม.</t>
  </si>
  <si>
    <t>ตู้เตี้ย คสล.ขนาด  0.60 x 3.73 x 0.80 ม.</t>
  </si>
  <si>
    <t>F4.9</t>
  </si>
  <si>
    <t>ตู้เตี้ย คสล.ขนาด  0.60 x 3.60 x 0.80 ม.</t>
  </si>
  <si>
    <t>F4.10</t>
  </si>
  <si>
    <t>F4.11</t>
  </si>
  <si>
    <t>ตู้เตี้ย คสล.ขนาด  0.60 x 3.80 x 0.80 ม.</t>
  </si>
  <si>
    <t>ตู้สูง ขนาด  0.60 x 3.80 x 2.00 ม.</t>
  </si>
  <si>
    <t>เคาน์เตอร์ทำงานขนาด  0.60 x 10.75 x 0.75 ม.</t>
  </si>
  <si>
    <t>F4.12</t>
  </si>
  <si>
    <t>ตู้เตี้ย คสล.ขนาด  0.60 x 11.20 x 0.80 ม.</t>
  </si>
  <si>
    <t>F3</t>
  </si>
  <si>
    <t>F2.4</t>
  </si>
  <si>
    <t>F3.1</t>
  </si>
  <si>
    <t>เคาน์เตอร์ทำงานขนาด  0.60 x 10.90 x 0.75 ม.</t>
  </si>
  <si>
    <t>F2.5</t>
  </si>
  <si>
    <t>F1.6</t>
  </si>
  <si>
    <t>เคาน์เตอร์ทำงานขนาด  0.60 x 4.32 x 0.75 ม.</t>
  </si>
  <si>
    <t>เครื่องผลิตสูญญากาศแบบ DUPLEX TYPE</t>
  </si>
  <si>
    <t xml:space="preserve"> @ 32 SCFM. 19"Hg7.5HP พร้อมอุปกรณ์ครบชุด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</si>
  <si>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</si>
  <si>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</si>
  <si>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</si>
  <si>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</si>
  <si>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</si>
  <si>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</si>
  <si>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</si>
  <si>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</si>
  <si>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</si>
  <si>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</si>
  <si>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</si>
  <si>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</si>
  <si>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</si>
  <si>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</si>
  <si>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</si>
  <si>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</si>
  <si>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</si>
  <si>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</si>
  <si>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</si>
  <si>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</si>
  <si>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</si>
  <si>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</si>
  <si>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</si>
  <si>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</si>
  <si>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</si>
  <si>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</si>
  <si>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</si>
  <si>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</si>
  <si>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</si>
  <si>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</si>
  <si>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</si>
  <si>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</si>
  <si>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</si>
  <si>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</si>
  <si>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</si>
  <si>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</si>
  <si>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</si>
  <si>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</si>
  <si>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</si>
  <si>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</si>
  <si>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หมวดงานโครงสร้าง</t>
  </si>
  <si>
    <t>งานสถาปัตยกรรม</t>
  </si>
  <si>
    <t>26</t>
  </si>
  <si>
    <t>30</t>
  </si>
  <si>
    <t>31</t>
  </si>
  <si>
    <t>32</t>
  </si>
  <si>
    <t>33</t>
  </si>
  <si>
    <t>34</t>
  </si>
  <si>
    <t>35</t>
  </si>
  <si>
    <t>เหล็ก C 150 x 50 x 20 x4.5 mm.</t>
  </si>
  <si>
    <t>เหล็ก C 125 x 50 x 20 x3.2 mm.</t>
  </si>
  <si>
    <t>เหล็ก C 125 x 50 x 20 x4.5 mm.</t>
  </si>
  <si>
    <t>แปเหล็กอาบสังกะสีขนาดมาตรฐาน</t>
  </si>
  <si>
    <t>ครอบปีกนก คสล.</t>
  </si>
  <si>
    <t>กระเบื้องว่าว ขนาด 13"</t>
  </si>
  <si>
    <t>ครอบสันกระเบื้องว่าว</t>
  </si>
  <si>
    <t>ครอบข้างกระเบื้องว่าว</t>
  </si>
  <si>
    <t>ฉนวนกันความร้อนชนิด FOIL 2 ด้าน</t>
  </si>
  <si>
    <t>เชิงชายไม้ ขนาด 1" x 10" +3/4" x 6"</t>
  </si>
  <si>
    <t xml:space="preserve">เดินท่อสูบ - ส่งน้ำประปาขึ้นถังเก็บน้ำบนดาดฟ้า </t>
  </si>
  <si>
    <t xml:space="preserve"> - 10 + 10 TANKS</t>
  </si>
  <si>
    <t xml:space="preserve"> - 2 + 2 TANKS</t>
  </si>
  <si>
    <t xml:space="preserve"> - คอลัมน์หัวเตียงคนไข้</t>
  </si>
  <si>
    <t xml:space="preserve"> - ท่อ GSP.   Class  B         Dia. 3" </t>
  </si>
  <si>
    <t xml:space="preserve">ระบบท่อน้ำโสโครก  </t>
  </si>
  <si>
    <t xml:space="preserve">เดินท่อน้ำโสโครก PVC. Class 8.5   Dia.  6" </t>
  </si>
  <si>
    <t xml:space="preserve">เดินท่อน้ำโสโครก PVC. Class 8.5   Dia.  4" </t>
  </si>
  <si>
    <t xml:space="preserve">เดินท่อน้ำโสโครก PVC. Class 8.5   Dia.  2" </t>
  </si>
  <si>
    <t xml:space="preserve">FLEXIBLE RUBBER     Dia.  6" </t>
  </si>
  <si>
    <t xml:space="preserve">FLEXIBLE RUBBER     Dia.  4" </t>
  </si>
  <si>
    <t xml:space="preserve">ระบบท่อน้ำทิ้ง </t>
  </si>
  <si>
    <t xml:space="preserve">เดินท่อน้ำทิ้ง PVC. Class 8.5   Dia.  4" </t>
  </si>
  <si>
    <t xml:space="preserve">เดินท่อน้ำทิ้ง PVC. Class 8.5   Dia.  3" </t>
  </si>
  <si>
    <t xml:space="preserve">เดินท่อน้ำทิ้ง PVC. Class 8.5   Dia.  2" </t>
  </si>
  <si>
    <t xml:space="preserve">FLOOR DRAIN W/P-TRAP    Dia.  2" </t>
  </si>
  <si>
    <t xml:space="preserve">FLEXIBLE RUBBER     Dia.  3" </t>
  </si>
  <si>
    <t xml:space="preserve">ระบบท่อระบายอากาศ </t>
  </si>
  <si>
    <t xml:space="preserve">เดินท่อระบายอากาศ  PVC. Class 8.5   Dia.  2" </t>
  </si>
  <si>
    <t xml:space="preserve">WATER  METER           Dia. 3" </t>
  </si>
  <si>
    <t xml:space="preserve">BUTTERFLY VALVE (UL/FM LIST)  Dia. 4" </t>
  </si>
  <si>
    <t xml:space="preserve">SWING CHECK VALVE (UL/FM )Dia. 4" </t>
  </si>
  <si>
    <t xml:space="preserve">AUTOMATIC AIR  VENT      Dia. 1/2" </t>
  </si>
  <si>
    <t xml:space="preserve">FDC   Dia. 4"x21/2"x21/2" </t>
  </si>
  <si>
    <t>FIRE HOSE CABINET W/ACCESSORY</t>
  </si>
  <si>
    <t>ระบบเครื่องสูบน้ำพร้อมอุปกรณ์</t>
  </si>
  <si>
    <t xml:space="preserve"> - ขนาดบำบัด   30 ลบ.ม./วัน </t>
  </si>
  <si>
    <t xml:space="preserve"> - ขนาดบำบัด   10 ลบ.ม./วัน </t>
  </si>
  <si>
    <t xml:space="preserve"> - ขนาดบำบัด   5 ลบ.ม./วัน </t>
  </si>
  <si>
    <t xml:space="preserve"> - ขนาดบำบัด   1 ลบ.ม./วัน </t>
  </si>
  <si>
    <t xml:space="preserve">VENT THROUGH ROOF (PVC.)    Dia.  2" </t>
  </si>
  <si>
    <t xml:space="preserve">เดินท่อระบายน้ำฝน  PVC. Class 8.5   Dia.  4" </t>
  </si>
  <si>
    <t xml:space="preserve">เดินท่อระบายน้ำฝน  PVC. Class 8.5   Dia.  3" </t>
  </si>
  <si>
    <t xml:space="preserve">เดินท่อระบายน้ำฝน  PVC. Class 8.5   Dia.  2" </t>
  </si>
  <si>
    <t xml:space="preserve">ROOF DRAIN     Dia.  4" </t>
  </si>
  <si>
    <t xml:space="preserve">ROOF DRAIN     Dia.  3" </t>
  </si>
  <si>
    <t xml:space="preserve">AREA DRAIN    Dia.  2" </t>
  </si>
  <si>
    <t xml:space="preserve">CLEAN OUT     Dia.  4" </t>
  </si>
  <si>
    <t xml:space="preserve">รางระบายน้ำ  ค.ส.ล. พร้อมฝาปิดตะแกรงเหล็ก  </t>
  </si>
  <si>
    <t xml:space="preserve">เดินท่อน้ำดับเพลิง </t>
  </si>
  <si>
    <t xml:space="preserve"> - BSP. (SEAM) ASTM A-120 SCH.40  Dia. 4" </t>
  </si>
  <si>
    <t xml:space="preserve"> - BSP. (SEAM) ASTM A-120 SCH.40  Dia. 21/2" </t>
  </si>
  <si>
    <t xml:space="preserve">ELECTROD LEVEL SWITCH </t>
  </si>
  <si>
    <t xml:space="preserve">MOTOR.380V./3PH./50Hz. 10 HP. AT 3000 RPM. </t>
  </si>
  <si>
    <t xml:space="preserve"> - PRESSURE GAUGE                  Dia. 4" </t>
  </si>
  <si>
    <t xml:space="preserve"> - CONTROLLER  </t>
  </si>
  <si>
    <t xml:space="preserve"> - แท่นเครื่อง </t>
  </si>
  <si>
    <t xml:space="preserve">ระบบบำบัดน้ำเสียสำเร็จรูป </t>
  </si>
  <si>
    <t xml:space="preserve">ถังบำบัดสำเร็จรูปชนิดเติมอากาศ </t>
  </si>
  <si>
    <t xml:space="preserve">  - DIA 1 1/2 " IMC</t>
  </si>
  <si>
    <t xml:space="preserve">  - THW 95 SQ.MM.</t>
  </si>
  <si>
    <t xml:space="preserve">  - NYY 240 SQ.MM.</t>
  </si>
  <si>
    <t>เดินสายร้อยท่อสำหรับดวงโคม,เต้ารับ</t>
  </si>
  <si>
    <t>MDB&amp;EDB</t>
  </si>
  <si>
    <t xml:space="preserve">  -PB-A4</t>
  </si>
  <si>
    <t xml:space="preserve">  -PB-A3</t>
  </si>
  <si>
    <t xml:space="preserve">  -PB-A2</t>
  </si>
  <si>
    <t xml:space="preserve">  -PB-A1</t>
  </si>
  <si>
    <t>CONSUMER UNIT 1P,2W</t>
  </si>
  <si>
    <t xml:space="preserve">  -PB-LIFT1</t>
  </si>
  <si>
    <t xml:space="preserve">  -100AT/100AF,3P</t>
  </si>
  <si>
    <t xml:space="preserve">  -60AT/100AF,3P</t>
  </si>
  <si>
    <t>MCCB W/ENCLOSSURE</t>
  </si>
  <si>
    <t xml:space="preserve">  - 30 A.,2 P</t>
  </si>
  <si>
    <t xml:space="preserve">    ไฟรั่ว 30 mA. TRIP</t>
  </si>
  <si>
    <t xml:space="preserve">  - POWER PLUG ระพบบป้องกัน</t>
  </si>
  <si>
    <t xml:space="preserve">  - เต้ารับคู่ (2P+E)</t>
  </si>
  <si>
    <t>เต้ารับไฟฟ้า</t>
  </si>
  <si>
    <t xml:space="preserve">  -สวิทช์ไฟฟ้าสามทางเดียว S2</t>
  </si>
  <si>
    <t>สวิทช์ไฟฟ้า,กล่องต่อสาย</t>
  </si>
  <si>
    <t>GENERATOR SET 500 KVA.</t>
  </si>
  <si>
    <t>LIGHTNING PROTECTION EARLY</t>
  </si>
  <si>
    <t>STREAMERMISSION SYSTEM</t>
  </si>
  <si>
    <t>เสา GALVANIZED STEEL สูง 8 เมตร</t>
  </si>
  <si>
    <t>พร้อมฐานยึด</t>
  </si>
  <si>
    <t>70 SQ.MM. COAXIAL CABLE</t>
  </si>
  <si>
    <t>DIA 1 1/4 " PVC</t>
  </si>
  <si>
    <t>GROUND ROD (3แท่ง/ชุด)</t>
  </si>
  <si>
    <t>อุปกรณ์ประกอบอื่นๆ</t>
  </si>
  <si>
    <t>ค่าแรงติดตั้ง</t>
  </si>
  <si>
    <t>TELEPHONE TERMINAL BOX</t>
  </si>
  <si>
    <t xml:space="preserve">   - 30 PRS.</t>
  </si>
  <si>
    <t xml:space="preserve">   - 10 PRS.</t>
  </si>
  <si>
    <t>30 PRS.-0.65 MM. TPEV</t>
  </si>
  <si>
    <t>10 PRS.-0.65 MM. TPEV</t>
  </si>
  <si>
    <t>DIA 1 1/4 " EMT</t>
  </si>
  <si>
    <t>DIA 3/4 " EMT</t>
  </si>
  <si>
    <t>PABX 16สายนอก/32สายใน</t>
  </si>
  <si>
    <t>เครื่องรับโทรศัพท์แบบอนาล็อก</t>
  </si>
  <si>
    <t>เครื่องรับโทรศัพท์แบบดิจิตอล</t>
  </si>
  <si>
    <t>FIRE ALARM ANNUNCIATOR</t>
  </si>
  <si>
    <t>MANUAL STATION</t>
  </si>
  <si>
    <t>ALARM BELL</t>
  </si>
  <si>
    <t>RATE OF RISE HEAT DETECTOR</t>
  </si>
  <si>
    <t xml:space="preserve">PHOTO ELECTRIC SMOKE </t>
  </si>
  <si>
    <t>DETECTOR</t>
  </si>
  <si>
    <t>BASE FOR DETECTOR</t>
  </si>
  <si>
    <t>WALL UNIT CALL POINT WITYH</t>
  </si>
  <si>
    <t>CABLE PEAR PUST&amp;RESET UNIT</t>
  </si>
  <si>
    <t>&amp;INTERCOM</t>
  </si>
  <si>
    <t xml:space="preserve">EMERGENCY CALL </t>
  </si>
  <si>
    <t>CORRIDOR LAMP</t>
  </si>
  <si>
    <t>เดินสายสำหรับอุปกรณ์</t>
  </si>
  <si>
    <t>MASTER CONTROL PANEL</t>
  </si>
  <si>
    <t>BUZZER&amp;INTERCOM SYSTEM</t>
  </si>
  <si>
    <t>30 ZONE</t>
  </si>
  <si>
    <t>TV. OUTLET</t>
  </si>
  <si>
    <t>เดินสายร้อยท่อสำหรับ TV. OUTLET</t>
  </si>
  <si>
    <t>TV. ANTENNA CH.3,5,7,9,11&amp;ITV</t>
  </si>
  <si>
    <t>MULTIBAND AMP.&amp;SUPPLY</t>
  </si>
  <si>
    <t>ลวดตาข่ายรองรับฉนวน</t>
  </si>
  <si>
    <t>ลิฟท์เตียงคนไข้ขนาด 1,000 ก.ก. ความเร็ว 60 เมตร/นาที</t>
  </si>
  <si>
    <t>เอ้าเลทจ่ายแก๊สทางการแพทย์</t>
  </si>
  <si>
    <t>1.1 เอ้าเลทติดผนัง</t>
  </si>
  <si>
    <t xml:space="preserve"> - ออกซิเจน</t>
  </si>
  <si>
    <t xml:space="preserve"> - อากาศหายใจ</t>
  </si>
  <si>
    <t xml:space="preserve"> - สูญญากาศ</t>
  </si>
  <si>
    <t xml:space="preserve"> - สไลด์แขวนขวดซักชั่น</t>
  </si>
  <si>
    <t>1.2 เอ้าเลทติดเพดาน</t>
  </si>
  <si>
    <t xml:space="preserve"> - ไนตรัสออกไซด์</t>
  </si>
  <si>
    <t>วาล์วเมนและโซน</t>
  </si>
  <si>
    <t xml:space="preserve"> - วาล์วทองเหลือง 3 ตอน รับความกดดันได้</t>
  </si>
  <si>
    <t>600 ปอนด์ / ตารางนิ้ว บรรจุกล่องพร้อมเกจจ์</t>
  </si>
  <si>
    <t xml:space="preserve"> dia 1/2" , dia 1/2"</t>
  </si>
  <si>
    <t xml:space="preserve"> dia 3/4" ,  dia 1/2" </t>
  </si>
  <si>
    <t xml:space="preserve"> dia 3/4" , dia 1"</t>
  </si>
  <si>
    <t xml:space="preserve"> dia 1", dia 1/2", dia 1/2"</t>
  </si>
  <si>
    <t xml:space="preserve"> dia 1/2", dia 1/2", dia1/2",dia 1/2"</t>
  </si>
  <si>
    <t xml:space="preserve"> - บอลวาล์วทองเหลือง dia 1/2"</t>
  </si>
  <si>
    <t>วัสดุติดตั้ง</t>
  </si>
  <si>
    <t xml:space="preserve"> - ท่อทองแดง ASTM - LB . 88</t>
  </si>
  <si>
    <t>dia              1/2"</t>
  </si>
  <si>
    <t>dia              3/4"</t>
  </si>
  <si>
    <t>dia                 1"</t>
  </si>
  <si>
    <t>dia            1 1/2"</t>
  </si>
  <si>
    <t xml:space="preserve">FULLY AUTOMATIC OXYGEN MANIFOLD </t>
  </si>
  <si>
    <t xml:space="preserve">FULLY AUTOMATIC NITROUS OXIDE MANIFOLD </t>
  </si>
  <si>
    <t>ระบบสัญญาณควบคุม</t>
  </si>
  <si>
    <t xml:space="preserve"> อาคารผู้ป่วยนอก - อุบัติเหตุ</t>
  </si>
  <si>
    <t xml:space="preserve"> โรงพยาบาลสรรพสิทธิประสงค์ จ.อุบลราชธานี</t>
  </si>
  <si>
    <t>สกัดหัวเสาเข็ม</t>
  </si>
  <si>
    <t>เสาเข็ม คอร.สี่เหลี่ยมตัน ขนาด  0.22 x 0.22  x 6.00 ม.</t>
  </si>
  <si>
    <t>ลบ.ฟ.</t>
  </si>
  <si>
    <t>ลบ.ม.</t>
  </si>
  <si>
    <t>ส่วนที่ 1  ค่างานต้นทุน   (คำนวณในราคาทุน)</t>
  </si>
  <si>
    <r>
      <t>กลุ่มงานที่ 1</t>
    </r>
    <r>
      <rPr>
        <sz val="14"/>
        <color indexed="8"/>
        <rFont val="TH SarabunPSK"/>
        <family val="2"/>
      </rPr>
      <t xml:space="preserve"> </t>
    </r>
  </si>
  <si>
    <t xml:space="preserve">   1.1 งานโครงสร้าง</t>
  </si>
  <si>
    <t xml:space="preserve">   1.2 งานสถาปัตยกรรม</t>
  </si>
  <si>
    <t xml:space="preserve">        1.2.1  งานหลังคา - โครงหลังคา</t>
  </si>
  <si>
    <t>1.2.1 งานหลังคา - โครงหลังคา</t>
  </si>
  <si>
    <t>1.2.2 งานฝ้าเพดาน</t>
  </si>
  <si>
    <t>1.2.3 งานพื้น - ผิวพื้น</t>
  </si>
  <si>
    <t>1.2.4 งานผนัง - ผิวผนัง</t>
  </si>
  <si>
    <t>1.2.5 งานวงกบ - กระจก และอุปกรณ์</t>
  </si>
  <si>
    <t>1.2.6 งานประตู - หน้าต่าง</t>
  </si>
  <si>
    <t>1.2.7 งานสุขภัณฑ์</t>
  </si>
  <si>
    <t>1.2.8 งานทาสี</t>
  </si>
  <si>
    <t>1.2.9 งานเบ็ดเตล็ด</t>
  </si>
  <si>
    <t>งานระบบสุขาภิบาลและดับเพลิง</t>
  </si>
  <si>
    <t>งานระบบไฟฟ้าและสื่อสาร</t>
  </si>
  <si>
    <t>งานระบบปรับอากาศ และระบายอากาศ</t>
  </si>
  <si>
    <t xml:space="preserve">งานระบบลิฟท์ </t>
  </si>
  <si>
    <t>งานระบบเครื่องกลและงานพิเศษอื่นๆ</t>
  </si>
  <si>
    <t>กลุ่มงานที่ 2</t>
  </si>
  <si>
    <t>งานครุภัณฑ์จัดจ้างหรือสั่งทำ</t>
  </si>
  <si>
    <t>งานตกแต่งภายในอาคาร</t>
  </si>
  <si>
    <t>กลุ่มงานที่ 3</t>
  </si>
  <si>
    <t>งานผังบริเวณและงานก่อสร้างประกอบอื่น ๆ</t>
  </si>
  <si>
    <t>ส่วนที่ 2  หมวดงานครุภัณฑ์จัดซื้อหรือสั่งซื้อ</t>
  </si>
  <si>
    <t>(คิดราคาผู้ผลิตหรือตัวแทนจำหน่ายซึ่งยังไม่รวมค่าภาษี)</t>
  </si>
  <si>
    <t>งานครุภัณฑ์สั่งซื้อ</t>
  </si>
  <si>
    <t>งานระบบโสตทัศน์ , ระบบคอมพิวเตอร์</t>
  </si>
  <si>
    <t xml:space="preserve">1.3  งานระบบสุขาภิบาลและดับเพลิง </t>
  </si>
  <si>
    <t>1.2.9  งานเบ็ดเตล็ด</t>
  </si>
  <si>
    <t>1.2.8  งานทาสี</t>
  </si>
  <si>
    <t>1.2.7  งานสุขภัณฑ์</t>
  </si>
  <si>
    <t>1.2.6  งานประตู - หน้าต่าง - ช่องแสง</t>
  </si>
  <si>
    <t>1.2.5  งานวงกบ - กระจก - อุปกรณ์</t>
  </si>
  <si>
    <t>1.2.4   งานผนัง - ผิวผนัง</t>
  </si>
  <si>
    <t xml:space="preserve">   1.4.1 งานระบบไฟฟ้า</t>
  </si>
  <si>
    <t xml:space="preserve">   1.4 งานระบบไฟฟ้าและสื่อสาร</t>
  </si>
  <si>
    <t>1.4.2  งานระบบป้องกันอันตรายจากฟ้าผ่า</t>
  </si>
  <si>
    <t xml:space="preserve">        1.4.3  งานระบบโทรศัพท์</t>
  </si>
  <si>
    <t xml:space="preserve">   1.4.4 งานระบบแจ้งเพลิงใหม้</t>
  </si>
  <si>
    <t>1.6 งานระบบลิฟท์</t>
  </si>
  <si>
    <t>1.7.1   งานระบบเซ็นทรัลไปป์ไลน์</t>
  </si>
  <si>
    <t>1.5   งานระบบปรับอากาศและระบายอากาศ</t>
  </si>
  <si>
    <t>1.4.1 งานระบบไฟฟ้า</t>
  </si>
  <si>
    <t>1.4.2 งานระบบป้องกันอันตรายจากฟ้าผ่า</t>
  </si>
  <si>
    <t>1.4.3 งานระบบโทรศัพท์</t>
  </si>
  <si>
    <t>1.4.4 งานระบบแจ้งเพลิงไหม้</t>
  </si>
  <si>
    <t>1.4.5  งานระบบเรียกพยาบาล</t>
  </si>
  <si>
    <t>1.4.5 งานระบบเรียกพยาบาล</t>
  </si>
  <si>
    <t xml:space="preserve">            1.7   งานระบบเครื่องกลและงานพิเศษ</t>
  </si>
  <si>
    <t>1.7.1 งานระบบเซ็นทรัลไปป์ไลน์</t>
  </si>
  <si>
    <t xml:space="preserve">    2.1 งานครุภัณฑ์จัดจ้างหรือสั่งทำ</t>
  </si>
  <si>
    <t>เหล็กเสริมเส้นกลม SR24</t>
  </si>
  <si>
    <t>เหล็กเสริมข้ออ้อย SD40</t>
  </si>
  <si>
    <t xml:space="preserve"> - Dia 6 มม.</t>
  </si>
  <si>
    <t xml:space="preserve"> - Dia 9 มม.</t>
  </si>
  <si>
    <t xml:space="preserve"> - Dia 12 มม.</t>
  </si>
  <si>
    <t xml:space="preserve"> - Dia 16 มม.</t>
  </si>
  <si>
    <t xml:space="preserve"> - Dia 20 มม.</t>
  </si>
  <si>
    <t xml:space="preserve"> - Dia 25 มม.</t>
  </si>
  <si>
    <t>ลิตร</t>
  </si>
  <si>
    <t>ฝ้าฉาบปูนเรียบ</t>
  </si>
  <si>
    <t>ฝ้ายกขอบตามรายการฝ้า 3</t>
  </si>
  <si>
    <t>ปูนทรายรองพื้นสำหรับปูกระเบื้องยาง</t>
  </si>
  <si>
    <t>6 เส้นเป็นแนวกันลื่น</t>
  </si>
  <si>
    <t xml:space="preserve">ราวบันไดสแตนเลส 1-Dia. 2" </t>
  </si>
  <si>
    <t>ราวบันได คสล.ฉาบปูนเรียบทาสี</t>
  </si>
  <si>
    <t>บัวเชิงผนัง</t>
  </si>
  <si>
    <t xml:space="preserve"> - บัวไม้สำเร็จรูปเคลือบสีพ่นโพรียูริเทน ขนาด 1" x 4"</t>
  </si>
  <si>
    <t>เสาเอ็น-ทับหลัง คสล.</t>
  </si>
  <si>
    <t xml:space="preserve"> - สำหรับก่ออิฐครึ่งแผ่น</t>
  </si>
  <si>
    <t xml:space="preserve"> - สำหรับก่ออิฐเต็มแผ่น</t>
  </si>
  <si>
    <t>ก่ออิฐโปร่งครึ่งแผ่น</t>
  </si>
  <si>
    <t>SCREEN BLOCK กันฝน  (DA 217)</t>
  </si>
  <si>
    <t>SCREEN BLOCK ระบายลม (DA 05)</t>
  </si>
  <si>
    <t>ผนังทำผิวทรายล้าง</t>
  </si>
  <si>
    <t xml:space="preserve">ส้วมชักโครกแบบนั่งราบ </t>
  </si>
  <si>
    <t>ส้วมชักโครกแบบนั่งยอง</t>
  </si>
  <si>
    <t>อ่างล้างหน้าชนิดแขวนผนัง</t>
  </si>
  <si>
    <t xml:space="preserve">อ่างล้างหน้าชนิดฝังเคาน์เตอร์ </t>
  </si>
  <si>
    <t>โถปัสสาวะชายชนิดโค้งเล็ก</t>
  </si>
  <si>
    <t>โถปัสสาวะชายชนิดมีปีกข้าง</t>
  </si>
  <si>
    <t>แผงกั้นโถปัสสาวะชาย</t>
  </si>
  <si>
    <t xml:space="preserve">ที่ใส่สบู่ </t>
  </si>
  <si>
    <t xml:space="preserve">ที่ใส่กระดาษชำระ </t>
  </si>
  <si>
    <t>ราวแขวนผ้า</t>
  </si>
  <si>
    <t>ขอแขวนผ้า</t>
  </si>
  <si>
    <t>ฝักบัวอาบน้ำสายอ่อน</t>
  </si>
  <si>
    <t>ที่เทกระโถน</t>
  </si>
  <si>
    <t>ชั้นวางของ</t>
  </si>
  <si>
    <t>กระจกเงาสำหรับอ่างล้างหน้าแขวนผนัง</t>
  </si>
  <si>
    <t>ราวสแตนเลส 1-Dia 2"</t>
  </si>
  <si>
    <t>สีอิมัลชั่นทนสภาวะอากาศชนิดภายใน</t>
  </si>
  <si>
    <t xml:space="preserve"> - อุปกรณ์ท่อ GSP,ที่ยึดท่อ,ทาสีท่อ,ทดสอบท่อ</t>
  </si>
  <si>
    <t xml:space="preserve"> - Dia 3"</t>
  </si>
  <si>
    <t xml:space="preserve">เดินท่อจ่ายน้ำประปา PB.  Sdr.13.5    </t>
  </si>
  <si>
    <t xml:space="preserve"> - Dia 2"</t>
  </si>
  <si>
    <t xml:space="preserve"> - Dia 1 1/2"</t>
  </si>
  <si>
    <t xml:space="preserve"> - Dia 1"</t>
  </si>
  <si>
    <t xml:space="preserve"> - Dia 3/4"</t>
  </si>
  <si>
    <t xml:space="preserve"> - Dia 1/2"</t>
  </si>
  <si>
    <t xml:space="preserve"> - อุปกรณ์ท่อ PB,ที่ยึดท่อ,ทาสีท่อ,ทดสอบท่อ</t>
  </si>
  <si>
    <t xml:space="preserve">MODULATING FLOAT VALVE  Dia. 3" </t>
  </si>
  <si>
    <t xml:space="preserve">BUTTERFLY VALVE   Dia. 3" </t>
  </si>
  <si>
    <t xml:space="preserve">BUTTERFLY VALVE   Dia. 2" </t>
  </si>
  <si>
    <t xml:space="preserve">GATE VALVE  Dia. 3" </t>
  </si>
  <si>
    <t xml:space="preserve">FLEXIBLE CONNECTOR  Dia. 3" </t>
  </si>
  <si>
    <t xml:space="preserve">STRAINER "Y"   Dia. 3" </t>
  </si>
  <si>
    <t xml:space="preserve">FOOT VALVE   Dia. 3" </t>
  </si>
  <si>
    <t xml:space="preserve">SILENT CHECK VALVE   Dia. 3" </t>
  </si>
  <si>
    <t>BALL VALVE  Dia. 1 1/2"</t>
  </si>
  <si>
    <t>BALL VALVE  Dia. 1"</t>
  </si>
  <si>
    <t>BALL VALVE  Dia. 3/4"</t>
  </si>
  <si>
    <t xml:space="preserve">STOP VALVE  Dia. 1/2" </t>
  </si>
  <si>
    <t xml:space="preserve">FAUCET       Dia. 1/2" </t>
  </si>
  <si>
    <t>อุปกรณ์ท่อ PVC.,ที่ยึดท่อ,ทาสีท่อ,ทดสอบท่อ</t>
  </si>
  <si>
    <t xml:space="preserve">CLEAN OUT  Dia.  6" </t>
  </si>
  <si>
    <t xml:space="preserve">CLEAN OUT  Dia.  4" </t>
  </si>
  <si>
    <t xml:space="preserve">CLEAN OUT  Dia.  2" </t>
  </si>
  <si>
    <t xml:space="preserve">FLOOR CLEAN OUT   Dia.  4" </t>
  </si>
  <si>
    <t xml:space="preserve">FLOOR CLEAN OUT   Dia.  2" </t>
  </si>
  <si>
    <t xml:space="preserve">FLOOR CLEAN OUT   Dia.  3" </t>
  </si>
  <si>
    <t xml:space="preserve">CLEAN OUT   Dia.  4" </t>
  </si>
  <si>
    <t xml:space="preserve">CLEAN OUT   Dia.  3" </t>
  </si>
  <si>
    <t xml:space="preserve">CLEAN OUT    Dia.  2" </t>
  </si>
  <si>
    <t xml:space="preserve">BALL VALVE    Dia. 1/2" </t>
  </si>
  <si>
    <t xml:space="preserve"> - อุปกรณ์ท่อ BSP,ที่ยึดท่อ,ทาสีท่อ,ทดสอบท่อ</t>
  </si>
  <si>
    <t>1.4.6  งานระบบสัญญาณโทรทัศน์</t>
  </si>
  <si>
    <t>1.4.6 งานระบบสัญญาณโทรทัศน์</t>
  </si>
  <si>
    <t>ความเร็ว 60 เมตร/นาที   จำนวน 4 ชั้น 4 ประตู</t>
  </si>
  <si>
    <t xml:space="preserve"> - อุปกรณ์ประกอบท่อ,ที่ยึดท่อ,ทาสีท่อ,ทดสอบท่อ</t>
  </si>
  <si>
    <t xml:space="preserve"> - LINE ALARM 2 GAS</t>
  </si>
  <si>
    <t xml:space="preserve"> - LINE ALARM 3 GAS</t>
  </si>
  <si>
    <t xml:space="preserve">      กลุ่มงานที่ 2</t>
  </si>
  <si>
    <t xml:space="preserve">    2.1   งานครุภัณฑ์สั่งซื้อ</t>
  </si>
  <si>
    <t>งานระบบเซ็นทรัลไปป์ไลน์</t>
  </si>
  <si>
    <t xml:space="preserve">    2.3   งานระบบเซ็นทรัลไปป์ไลน์</t>
  </si>
  <si>
    <t>โฟล์มิเตอร์ออกซิเจน 0 - 15 ลิตร / นาที</t>
  </si>
  <si>
    <t>โฟล์มิเตอร์อากาศ 0 - 15 ลิตร / นาที</t>
  </si>
  <si>
    <t>ชุดให้ความชื้นแบบ HUMIDIFIER</t>
  </si>
  <si>
    <t>ชุดให้ความชื้นแบบ NEUBOLIZER</t>
  </si>
  <si>
    <t>อุปกรณ์ซักชั่น ปาก,คอ,จมูก</t>
  </si>
  <si>
    <t>อุปกรณ์ซักชั่น กระเพาะอาหาร</t>
  </si>
  <si>
    <t>เครื่องดูดของเหลวในห้องผ่าตัด</t>
  </si>
  <si>
    <t>F  เก้าอี้พักคอย 3 ที่นั่ง ขนาด 0.55 x 1.51 x 0.73</t>
  </si>
  <si>
    <t>เคาน์เตอร์ทำงานขนาด  0.60 x 6.58 x 0.75 ม.</t>
  </si>
  <si>
    <t>ตู้เตี้ย ขนาด  0.60 x 3.55 x 0.80 ม.</t>
  </si>
  <si>
    <t>ตู้เตี้ย ขนาด  0.60 x 2.40 x 0.80 ม.</t>
  </si>
  <si>
    <r>
      <t xml:space="preserve"> </t>
    </r>
    <r>
      <rPr>
        <sz val="14"/>
        <rFont val="TH SarabunPSK"/>
        <family val="2"/>
      </rPr>
      <t>(คิดในราคาเหมารวม ซึ่งรวมค่าใช้จ่ายและค่าภาษีไว้ด้วยแล้ว)</t>
    </r>
  </si>
  <si>
    <r>
      <t xml:space="preserve">      ราคารวมค่าภาษีมูลค่าเพิ่ม (</t>
    </r>
    <r>
      <rPr>
        <b/>
        <sz val="14"/>
        <rFont val="TH SarabunPSK"/>
        <family val="2"/>
      </rPr>
      <t xml:space="preserve">VAT)  </t>
    </r>
  </si>
  <si>
    <t>ตร.ฟ.</t>
  </si>
  <si>
    <t>ตู้อ่านฟิล์มชนิด 2 ภาพ</t>
  </si>
  <si>
    <t xml:space="preserve"> - เครื่องควบคุมสัญญาณเสียงและแสง สำหรับแพทย์</t>
  </si>
  <si>
    <t xml:space="preserve">   และพยาบาลแบบเตือนแบบ LINE ALARM </t>
  </si>
  <si>
    <t xml:space="preserve"> - เครื่องควบคุมสัญญาณเสียง / แสง  สำหรับช่าง</t>
  </si>
  <si>
    <t xml:space="preserve">   และพยาบาล แบบ MASTER 4 GAS</t>
  </si>
  <si>
    <t xml:space="preserve">เครื่องผลิตอากาศแบบ DUPLEX @ 20 SCFMที่ 60PSI </t>
  </si>
  <si>
    <t>5 HP 'พร้อมอุปกรณ์ครบ</t>
  </si>
  <si>
    <t xml:space="preserve">แบบเลขที่  9893 </t>
  </si>
  <si>
    <t>แบบเลขที่  9893</t>
  </si>
  <si>
    <t>เสาเข็มเจาะ</t>
  </si>
  <si>
    <t>เสาเข็มเจาะระบบแห้ง (DRY PROCESS) Dia 0.50x12.00 ม.</t>
  </si>
  <si>
    <t>รับน้ำหนักปลอดภัยได้ไม่น้อยกว่า 60 ตัน/ต้น</t>
  </si>
  <si>
    <t>สกัดหัวเสาเข็มเจาะ</t>
  </si>
  <si>
    <t>งานป้องกันและกำจัดปลวกโดยวิธีอัดน้ำยาเคมีลงในดิน</t>
  </si>
  <si>
    <t xml:space="preserve">  - LED (T8) 1x10 W.ชนิดเปลือยทรงปิรามิด ติดเพดาน</t>
  </si>
  <si>
    <t xml:space="preserve">  - LED (T8) 1x10 W.ครอบอะคิลิคติดผนัง</t>
  </si>
  <si>
    <t xml:space="preserve">    CURVE SHAPE DIFFUSURE TYPE</t>
  </si>
  <si>
    <t xml:space="preserve">  - LED (T8) 1x20 W.ครอบอะคิลิคติดผนัง</t>
  </si>
  <si>
    <t xml:space="preserve">  - LED (T8) 1x20 W.ชนิดเปลือยทรงปิรามิด</t>
  </si>
  <si>
    <t xml:space="preserve">    ติดเพดาน</t>
  </si>
  <si>
    <t xml:space="preserve">  - LED (T8) 2x20 W.ครอบอะคิลิคเม็ดใส  ฝังฝ้า</t>
  </si>
  <si>
    <t xml:space="preserve">  - LED (T8) 2x20 W.ครอบตะแกรงอลูมิเนียม</t>
  </si>
  <si>
    <t xml:space="preserve">    ชนิดเงาฝังฝ้า</t>
  </si>
  <si>
    <t xml:space="preserve">    ชนิดเงาฝังฝ้า (60x120cm)</t>
  </si>
  <si>
    <t xml:space="preserve">  - LED (T8) 2x10 W.ครอบตะแกรงอลูมิเนียม</t>
  </si>
  <si>
    <t xml:space="preserve">    ชนิดเงาฝังฝ้า (60x60cm)</t>
  </si>
  <si>
    <t xml:space="preserve">    REFLECTOR สีเงิน</t>
  </si>
  <si>
    <t xml:space="preserve">  - DOWNLIGHT LED BULB  5W</t>
  </si>
  <si>
    <t xml:space="preserve">  - DOWNLIGHT LED BULB  7W</t>
  </si>
  <si>
    <t xml:space="preserve">  - LED (T8) 3x20 W.ครอบตะแกรงอลูมิเนียม</t>
  </si>
  <si>
    <t>ATS FOR MDB 800A , 3P</t>
  </si>
  <si>
    <t xml:space="preserve">  - CABLE LADDER  600 mm.</t>
  </si>
  <si>
    <t xml:space="preserve">  - CABLE TRAY  600 mm.</t>
  </si>
  <si>
    <t>TRANSFORMER 630 KVA. - CABLE BOX</t>
  </si>
  <si>
    <t>เครื่องทำน้ำอุ่น 3500 W พร้อมระบบป้องกันไฟรั่ว</t>
  </si>
  <si>
    <t>LV.LIGHTNING AND SURGE  VOLTAGE ARRESTER</t>
  </si>
  <si>
    <t>นั่งร้านหม้อแปลง</t>
  </si>
  <si>
    <t>SOUND PROOF GEN ROOM</t>
  </si>
  <si>
    <t>EMERGENCY LIGHT  LED 2x6 w</t>
  </si>
  <si>
    <t>EXIT LIGHT 2 SIDE  LED 2x5 w</t>
  </si>
  <si>
    <t>เดินสายร้อยท่อ</t>
  </si>
  <si>
    <t>FIRE ALARM CONTROL PANEL 5 ZONE</t>
  </si>
  <si>
    <t>ท่อ EMT. Dia 1/2"</t>
  </si>
  <si>
    <t>สาย FRC 1.5 sq.mm.</t>
  </si>
  <si>
    <t>สาย FRC 2.5 sq.mm.</t>
  </si>
  <si>
    <t>บัวฝ้าพีวีซีชนิดตัน ขนาดกว้าง 52 มม. หนา 8 มม.</t>
  </si>
  <si>
    <t>ผิวทำทรายล้างสีธรรมชาติ แบ่งแนวด้วยเส้นพีวีซี</t>
  </si>
  <si>
    <t>ผิวปูกระเบื้องเซรามิคชนิดเคลือบด้าน ขนาด 0.30x0.30 ม.</t>
  </si>
  <si>
    <t>ผิวปูกระเบื้องยาง หนา 2.5 มม.ลายไม้ปาร์เก้</t>
  </si>
  <si>
    <t>ผิวปูหินแกรนิต ขนาด 0.30x0.60 ม. หนา 2 ซม.</t>
  </si>
  <si>
    <t>ผิวปูกระเบื้องยาง ขนาด 0.60x0.60 ม. หนา 2 มม.</t>
  </si>
  <si>
    <t>ผิวขัดมันเรียบ ทำผิวหน้าด้วยวัสดุกันซึมและกันความร้อน</t>
  </si>
  <si>
    <t>(ELASTIC CERAMIC INSULATING)  เสริมความแข็งแรง</t>
  </si>
  <si>
    <t>ด้วยแผ่น POLEYESTER ความหนารวม 1,000 ไมครอน</t>
  </si>
  <si>
    <t>ผิวปูกระเบื้องยางชนิดม้วนป้องกันการเพาะเชื้อแบคทีเรีย</t>
  </si>
  <si>
    <t>หนา 2 มม. ทนต่อสารเคมี,ทนกรด,ทนด่าง</t>
  </si>
  <si>
    <t xml:space="preserve">ผิวปูกระเบื้องยางชนิด FUTURE DESIGN </t>
  </si>
  <si>
    <t>ขนาด 0.60x0.60 ม.  หนา 2 มม.</t>
  </si>
  <si>
    <t xml:space="preserve"> - บัวพีวีซีชนิดตัน หนา 9 มม. สูง 6"</t>
  </si>
  <si>
    <t>จมูกบันไดอลูมิเนียมอัดด้วยผ้าเบรค 3 เส้น</t>
  </si>
  <si>
    <t>ผนังกรุทับด้วยแผ่น Compact Laminate หนา 8 มม.</t>
  </si>
  <si>
    <t>เจาะสำรวจดินโดยวิธี  BORING TEST</t>
  </si>
  <si>
    <t>ทดสอบความสมบูรณ์ของเสาเข็มเจาะ</t>
  </si>
  <si>
    <t xml:space="preserve">ทดสอบการรับน้ำหนักของเสาเข็มโดยวิธี </t>
  </si>
  <si>
    <t xml:space="preserve">STATIC PILE LOAD TEST (รวมเสาเข็มทดสอบ) </t>
  </si>
  <si>
    <t>ราคากรมเศรษฐกิจ</t>
  </si>
  <si>
    <t>ผิวบุกระเบื้อง ขนาด 8" x 8"</t>
  </si>
  <si>
    <t>ผิวบุหินแกรนิต ขนาด 0.30 x 0.60 ม.</t>
  </si>
  <si>
    <t>ผิวกรุแผ่นอลูมิเนียมคอมโพสิท หนา 4 มม.</t>
  </si>
  <si>
    <t>สีอิมัลชั่นทนสภาวะอากาศชนิดภายนอก</t>
  </si>
  <si>
    <t xml:space="preserve">เดินท่อระบายอากาศ  PVC. Class 8.5   Dia.  2 1/2" </t>
  </si>
  <si>
    <t xml:space="preserve">เดินท่อระบายอากาศ  PVC. Class 8.5   Dia.  1 1/2" </t>
  </si>
  <si>
    <t xml:space="preserve">เดินท่อระบายอากาศ  PVC. Class 8.5   Dia.  1 1/4" </t>
  </si>
  <si>
    <t xml:space="preserve">VENT THROUGH ROOF (PVC.)    Dia.  2 1/2" </t>
  </si>
  <si>
    <t xml:space="preserve">VENT THROUGH ROOF (PVC.)    Dia.  1 1/2" </t>
  </si>
  <si>
    <t>MINIATURE CIRCUIT BREAKER 20 A 1P</t>
  </si>
  <si>
    <t>MINIATURE CIRCUIT BREAKER 30 A 3P</t>
  </si>
  <si>
    <t>คอนกรีตก้นหลุม  (คอนกรีตผสมเสร็จ)</t>
  </si>
  <si>
    <t xml:space="preserve"> - Dia 28 มม. (SD 50)</t>
  </si>
  <si>
    <t>สรุปผลการประมาณราคาค่าก่อสร้าง</t>
  </si>
  <si>
    <t xml:space="preserve"> - ปริมาณงานใน BOQ.นี้เป็นแนวทางในการประมาณราคาเท่านั้น ผู้เสนอราคาจะต้องตรวจสอบ</t>
  </si>
  <si>
    <t xml:space="preserve">   ปริมาณที่ถูกต้องตามรูปแบบ และรายการก่อสร้างที่กำหนด</t>
  </si>
  <si>
    <t xml:space="preserve"> - หากต้องการใช้ BOQ.นี้ให้ผู้เสนอราคา กรอกรายละเอียด จะต้องลบปริมาณวัสดุ และราคาออกก่อน </t>
  </si>
  <si>
    <t xml:space="preserve"> พฤษภาคม  2559</t>
  </si>
  <si>
    <r>
      <t xml:space="preserve">ราคาค่าแรงงานตามบัญชีค่าแรงงาน / ค่าดำเนินการ สำหรับถอดแบบคำนวนราคากลางงานก่อสร้าง    </t>
    </r>
    <r>
      <rPr>
        <b/>
        <sz val="14"/>
        <rFont val="TH SarabunPSK"/>
        <family val="2"/>
      </rPr>
      <t>เดือน  ตุลาคม  2558</t>
    </r>
  </si>
  <si>
    <t>ตาราง Factor F  งานอาคาร</t>
  </si>
  <si>
    <t>การคำนวณหาค่า Factor-F เฉลี่ย</t>
  </si>
  <si>
    <t>เงินล่วงหน้าจ่าย</t>
  </si>
  <si>
    <t>หนังสือกรมบัญชีกลางที่ กค.0405.3 / ว.364 ลงวันที่ 15 กันยายน 2559</t>
  </si>
  <si>
    <t>เงินประกันผลงานหัก</t>
  </si>
  <si>
    <t>ค่าภาษีมูลค่าเพิ่ม</t>
  </si>
  <si>
    <t>Factor F =</t>
  </si>
  <si>
    <r>
      <t>D - ((D-E)*(A-</t>
    </r>
    <r>
      <rPr>
        <b/>
        <sz val="14"/>
        <color indexed="12"/>
        <rFont val="CordiaUPC"/>
        <family val="2"/>
      </rPr>
      <t>B</t>
    </r>
    <r>
      <rPr>
        <b/>
        <sz val="14"/>
        <rFont val="CordiaUPC"/>
        <family val="2"/>
      </rPr>
      <t>)/(</t>
    </r>
    <r>
      <rPr>
        <b/>
        <sz val="14"/>
        <color indexed="10"/>
        <rFont val="CordiaUPC"/>
        <family val="2"/>
      </rPr>
      <t>C</t>
    </r>
    <r>
      <rPr>
        <b/>
        <sz val="14"/>
        <rFont val="CordiaUPC"/>
        <family val="2"/>
      </rPr>
      <t>-</t>
    </r>
    <r>
      <rPr>
        <b/>
        <sz val="14"/>
        <color indexed="12"/>
        <rFont val="CordiaUPC"/>
        <family val="2"/>
      </rPr>
      <t>B</t>
    </r>
    <r>
      <rPr>
        <b/>
        <sz val="14"/>
        <rFont val="CordiaUPC"/>
        <family val="2"/>
      </rPr>
      <t>))</t>
    </r>
  </si>
  <si>
    <t>B</t>
  </si>
  <si>
    <t>B : ค่างานต้นทุนต่ำ</t>
  </si>
  <si>
    <t>(บาท)</t>
  </si>
  <si>
    <t>A</t>
  </si>
  <si>
    <t>A : ค่างานต้นทุนที่ประมาณราคาได้(วัสดุ+แรงงาน)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</si>
  <si>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</si>
  <si>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</si>
  <si>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</si>
  <si>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</si>
  <si>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</si>
  <si>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</si>
  <si>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</si>
  <si>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</si>
  <si>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(ให้กรอกข้อมูลลงในช่อง A เท่านั้น)</t>
  </si>
  <si>
    <t>หลักเกณฑ์การคำนวณค่า FACTOR F    หนังสือกรมบัญชีกลาง  ที่ กค 0405.3/ว 364  ลว.15 ก.ย.59</t>
  </si>
  <si>
    <r>
      <t xml:space="preserve">     กลุ่มงานที่ 1</t>
    </r>
    <r>
      <rPr>
        <sz val="14"/>
        <color indexed="8"/>
        <rFont val="TH SarabunPSK"/>
        <family val="2"/>
      </rPr>
      <t xml:space="preserve"> </t>
    </r>
  </si>
  <si>
    <t>เหล็กเสริมเส้นกลม SR24   Dia 6 มม.</t>
  </si>
  <si>
    <t>แบบเลขที่  9893 + อส. ข.620/ต.ค./58 + อส.ข.24/ก.พ./60</t>
  </si>
  <si>
    <t xml:space="preserve"> + อส.ข.620/ต.ค./58 + อส.ข.24/ก.พ./60</t>
  </si>
  <si>
    <t>งานถมดินบริเวณก่อสร้าง  ตาม อส. ข.24/ก.พ./60</t>
  </si>
  <si>
    <t>แบบเลขที่ 9893 + อส.ข.620/ต.ค./58 + อส.ข.24/ก.พ./60</t>
  </si>
  <si>
    <t>งบประมาณ</t>
  </si>
  <si>
    <t>: สำนักงานโยธาธิการและผังเมืองจังหวัดอุบลราชธานีและคณะกรรมการกำหนดราคากลางได้ดำเนินการตรวจสอบรายการประมาณราคาค่าก่อสร้างงาน</t>
  </si>
  <si>
    <t xml:space="preserve">ดังกล่าวเฉพาะราคาวัสดุต่อหน่วยและราคาค่าแรงงานต่อหน่วย  ซึ่งเป็นราคาในท้องถิ่นและเป็นราคา ณ วันที่ตรวจสอบเท่านั้น (ส่วนข้อมูลปริมาณงานต่าง ๆ </t>
  </si>
  <si>
    <t>คณะกรรมการกำหนดราคากลาง</t>
  </si>
  <si>
    <t>ตามคำสั่งจังหวัดอุบลราชธานี ที่     5324  /2559</t>
  </si>
  <si>
    <t>(ลงชื่อ)................................................</t>
  </si>
  <si>
    <t>ประธานกรรมการ</t>
  </si>
  <si>
    <t>กรรมการ</t>
  </si>
  <si>
    <t>( นายปรีดา อิทธิธรรมบูรณ์ )</t>
  </si>
  <si>
    <t>นายแพทย์เชี่ยวชาญ</t>
  </si>
  <si>
    <t>( นายกิตต์    มักการุณ  )</t>
  </si>
  <si>
    <t>สถาปนิกชำนาญการพิเศษ</t>
  </si>
  <si>
    <t>สนง.โยธาธิการและผังเมืองจังหวัดอุบลฯ</t>
  </si>
  <si>
    <t>( นายวัฒนชัย   อึ้งเจริญวัฒนา )</t>
  </si>
  <si>
    <t>นายแพทย์ชำนาญการพิเศษ</t>
  </si>
  <si>
    <t>( นายฉลาด    แสวงดี )</t>
  </si>
  <si>
    <t>นายช่างเทคนิคชำนาญงาน</t>
  </si>
  <si>
    <t>( นายกฤษณะ   สิงห์เรือง )</t>
  </si>
  <si>
    <t>ประมาณราคาเมื่อ      เดือน   กุมภาพันธ์  2560</t>
  </si>
  <si>
    <t>FACTOR . F  ประเภทงานอาคาร  เงื่อนไข - เงินล่วงหน้าจ่าย  15 % , - เงินประกันผลงานหัก  0 % , - ดอกเบี้ยเงินกู้  6 % , - ค่าภาษีมูลค่าเพิ่ม  7 %</t>
  </si>
  <si>
    <t>สรุปผลการประมาณราคาก่อสร้าง</t>
  </si>
  <si>
    <t>ประเภทงาน</t>
  </si>
  <si>
    <t>:</t>
  </si>
  <si>
    <t>เจ้าของโครงการ</t>
  </si>
  <si>
    <t>หน่วยงานออกแบบแปลนและรายการ.......................................................................................................................</t>
  </si>
  <si>
    <t>แบบเลขที่.......…..</t>
  </si>
  <si>
    <t>รายการ………….</t>
  </si>
  <si>
    <t xml:space="preserve">หลักเกณฑ์คำนวณราคากลาง :  </t>
  </si>
  <si>
    <t>ปรับปรุงใหม่ตามมติที่ประชุมคณะกรรมการควบคุมราคากลาง</t>
  </si>
  <si>
    <t xml:space="preserve">FACTOR F งานอาคาร </t>
  </si>
  <si>
    <t>เงื่อนไขการคำนวณค่า Factor :</t>
  </si>
  <si>
    <t xml:space="preserve"> - เงินล่วงหน้า</t>
  </si>
  <si>
    <t xml:space="preserve"> - ภาษีมูลค่าเพิ่ม</t>
  </si>
  <si>
    <t xml:space="preserve"> - อัตราดอกเบี้ยเงินกู้</t>
  </si>
  <si>
    <t xml:space="preserve"> - หักเงินประกันผลงาน</t>
  </si>
  <si>
    <t>ค่า Factor F กรณีฝนตกชุก</t>
  </si>
  <si>
    <t>ค่า FACTOR-F</t>
  </si>
  <si>
    <t>ค่าก่อสร้าง</t>
  </si>
  <si>
    <t>จังหวัดอุบลราชธานี</t>
  </si>
  <si>
    <t>ส่วนที่ 1 ค่างานต้นทุน</t>
  </si>
  <si>
    <t xml:space="preserve"> - กลุ่มงานที่ 1 </t>
  </si>
  <si>
    <t xml:space="preserve"> - กลุ่มงานที่ 2</t>
  </si>
  <si>
    <t xml:space="preserve"> - กลุ่มงานที่ 3</t>
  </si>
  <si>
    <t>สรุป</t>
  </si>
  <si>
    <t>รวมค่าก่อสร้าง เป็นเงินประมาณ</t>
  </si>
  <si>
    <t>หมายเหตุ  (คิดเฉพาะงานอาคาร)</t>
  </si>
  <si>
    <t>รวมจำนวนพื้นที่ ................................................</t>
  </si>
  <si>
    <t>เฉลื่ยราคา.................................................................</t>
  </si>
  <si>
    <t>บาท/ตร.ม.</t>
  </si>
  <si>
    <t>งานอาคาร  จำนวน 1 รายการ</t>
  </si>
  <si>
    <t>ภาษี</t>
  </si>
  <si>
    <t>มูลค่าเพิ่ม</t>
  </si>
  <si>
    <t>ส่วนที่ 2 ครุภัณฑ์จัดซื้อหรือสั่งซื้อ</t>
  </si>
  <si>
    <t>(ครุภัณฑ์จัดซื้อหรือสั่งซื้อ ครุภัณฑ์ลอยตัวพร้อมติดตั้ง)</t>
  </si>
  <si>
    <t>ส่วนที่ 3 ค่าใช้จ่ายพิเศษตามข้อกำหนด(ถ้ามี)</t>
  </si>
  <si>
    <t>(ค่าใช้จ่ายพิเศษตามข้อกำหนด จำต้องมี ควรจะมี ฯลฯ)</t>
  </si>
  <si>
    <t>-</t>
  </si>
  <si>
    <t>(รวมภาษี</t>
  </si>
  <si>
    <t>มูลค่าเพิ่มแล้ว)</t>
  </si>
  <si>
    <t>โครงสร้างทั่วไป  180 ksc. (Cylender)</t>
  </si>
  <si>
    <t>1ตัน/บาท</t>
  </si>
  <si>
    <t>1 ถุง/บาท</t>
  </si>
  <si>
    <t>กก./1ถุง</t>
  </si>
  <si>
    <t>โครงสร้างทั่วไป  210 ksc. (Cylender)</t>
  </si>
  <si>
    <t>โครงสร้างทั่วไป  240 ksc. (Cylender)</t>
  </si>
  <si>
    <t>เพิ่มซีเมนต์ 32 กก.</t>
  </si>
  <si>
    <t>180-240</t>
  </si>
  <si>
    <t>ksc-ksc</t>
  </si>
  <si>
    <t>โครงสร้างทั่วไป  280 ksc. (Cylender)</t>
  </si>
  <si>
    <t>พื้น POST-TENSION  320 ksc. (Cylender)</t>
  </si>
  <si>
    <t>เพิ่มซีเมนต์ 60 กก.</t>
  </si>
  <si>
    <t>240-320</t>
  </si>
  <si>
    <t>พื้น POST-TENSION  350 ksc. (Cylender)</t>
  </si>
  <si>
    <t>เพิ่มซีเมนต์ 83 กก.</t>
  </si>
  <si>
    <t>240-350</t>
  </si>
  <si>
    <t>คอนกรีตหยาบ</t>
  </si>
  <si>
    <t>(ตัน)</t>
  </si>
  <si>
    <t xml:space="preserve">RB6 SR - 24 </t>
  </si>
  <si>
    <t xml:space="preserve">RB9 SR - 24 </t>
  </si>
  <si>
    <t xml:space="preserve">RB12 SR - 24 </t>
  </si>
  <si>
    <t xml:space="preserve">RB15 SR - 24 </t>
  </si>
  <si>
    <t xml:space="preserve">RB19 SR - 24 </t>
  </si>
  <si>
    <t xml:space="preserve">DB12 SD - 40 </t>
  </si>
  <si>
    <t xml:space="preserve">DB16 SD - 40 </t>
  </si>
  <si>
    <t xml:space="preserve">DB20 SD - 40 </t>
  </si>
  <si>
    <t xml:space="preserve">DB25 SD - 40 </t>
  </si>
  <si>
    <t xml:space="preserve">DB28 SD - 40 </t>
  </si>
  <si>
    <t xml:space="preserve">DB12 SD - 50 </t>
  </si>
  <si>
    <t xml:space="preserve">DB16 SD - 50 </t>
  </si>
  <si>
    <t xml:space="preserve">DB20 SD - 50 </t>
  </si>
  <si>
    <t xml:space="preserve">DB25 SD - 50 </t>
  </si>
  <si>
    <t xml:space="preserve">DB28 SD - 50 </t>
  </si>
  <si>
    <t xml:space="preserve">DB32 SD - 50 </t>
  </si>
  <si>
    <t xml:space="preserve">DB40 SD - 50 </t>
  </si>
  <si>
    <t>ลวด</t>
  </si>
  <si>
    <t>ค่าขนส่ง</t>
  </si>
  <si>
    <t>ระยะทาง/กม.</t>
  </si>
  <si>
    <t>ราคาน้ำมัน/ลิตร</t>
  </si>
  <si>
    <t>ดินถม</t>
  </si>
  <si>
    <t>ไม่รวมขนส่ง</t>
  </si>
  <si>
    <t>25-25.99</t>
  </si>
  <si>
    <t>รวมขนส่ง</t>
  </si>
  <si>
    <t>ทรายหยาบ</t>
  </si>
  <si>
    <t>ทรายละเอียด</t>
  </si>
  <si>
    <t>หินคลุก</t>
  </si>
  <si>
    <t>ไม้เคร่า</t>
  </si>
  <si>
    <t>ลัง/บาท</t>
  </si>
  <si>
    <t>กก./ลัง</t>
  </si>
  <si>
    <t>ไม้โครงสร้าง</t>
  </si>
  <si>
    <t>ไม้ทั่วไป</t>
  </si>
  <si>
    <t>นั้น ใช้ข้อมูลตามเอกสารแบบเลขที่ 9893 + อส.ข.620/ต.ค./58 + อส.ข.24/ก.พ./60 ของกองแบบแผน กรมสนับสนุนบริการสุขภาพ กระทรวงสาธารณะสุข แจ้งราคาเมื่อ</t>
  </si>
  <si>
    <t>เดือน  ก.พ. 2560  โดยคณะทำงานจัดทำราคา งบประมาณปี 2560 ตามคำสั่งกองแบบแผนที่ 98/2558 ลว. 18 ธ.ย. 2558)</t>
  </si>
  <si>
    <t xml:space="preserve"> - </t>
  </si>
  <si>
    <t>ปรับราคาเมื่อ    เดือน   กรกฎาคม  2560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</si>
</sst>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.00000"/>
    <numFmt numFmtId="189" formatCode="0.0"/>
    <numFmt numFmtId="190" formatCode="_(* #,##0_);_(* \(#,##0\);_(* &quot;-&quot;??_);_(@_)"/>
    <numFmt numFmtId="191" formatCode="0.0000"/>
    <numFmt numFmtId="192" formatCode="0.000"/>
    <numFmt numFmtId="193" formatCode="#,##0.000;[Red]\-#,##0.000"/>
    <numFmt numFmtId="194" formatCode="\t0.00E+00"/>
    <numFmt numFmtId="195" formatCode="&quot;฿&quot;\t#,##0_);\(&quot;฿&quot;\t#,##0\)"/>
    <numFmt numFmtId="196" formatCode="#,##0\ &quot;F&quot;;[Red]\-#,##0\ &quot;F&quot;"/>
    <numFmt numFmtId="197" formatCode="0.0&quot;  &quot;"/>
    <numFmt numFmtId="198" formatCode="#,##0.0000;[Red]\-#,##0.0000"/>
    <numFmt numFmtId="199" formatCode="#,##0.0_);\(#,##0.0\)"/>
    <numFmt numFmtId="200" formatCode="\ว\ว/\ด\ด/\ป\ป"/>
    <numFmt numFmtId="201" formatCode="dd\-mmm\-yy_)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00_);_(* \(#,##0.000\);_(* &quot;-&quot;??_);_(@_)"/>
    <numFmt numFmtId="209" formatCode="#,##0.0;[Red]\-#,##0.0"/>
    <numFmt numFmtId="210" formatCode="_(* #,##0_);_(* \(#,##0\);_(* &quot;-&quot;_);_(@_)"/>
    <numFmt numFmtId="211" formatCode="_(* #,##0.0000_);_(* \(#,##0.0000\);_(* &quot;-&quot;??_);_(@_)"/>
    <numFmt numFmtId="212" formatCode="_(* #,##0.000000_);_(* \(#,##0.000000\);_(* &quot;-&quot;??_);_(@_)"/>
    <numFmt numFmtId="213" formatCode="_-* #,##0.0_-;\-* #,##0.0_-;_-* &quot;-&quot;?_-;_-@_-"/>
    <numFmt numFmtId="214" formatCode="#,##0.0"/>
    <numFmt numFmtId="215" formatCode="#,##0.00_ ;[Red]\-#,##0.00\ "/>
    <numFmt numFmtId="216" formatCode="[$-107041E]d\ mmmm\ yyyy;@"/>
    <numFmt numFmtId="217" formatCode="[$-D07041E]d\ mmm\ yy;@"/>
    <numFmt numFmtId="218" formatCode="0.0%"/>
    <numFmt numFmtId="219" formatCode="_-* #,##0.0_-;\-* #,##0.0_-;_-* &quot;-&quot;??_-;_-@_-"/>
    <numFmt numFmtId="220" formatCode="[&lt;=99999999][$-D000000]0\-####\-####;[$-D000000]#\-####\-####"/>
  </numFmts>
  <fonts count="88">
    <font>
      <sz val="12"/>
      <name val="EucrosiaUPC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color indexed="10"/>
      <name val="EucrosiaUPC"/>
      <family val="1"/>
    </font>
    <font>
      <sz val="8"/>
      <name val="EucrosiaUPC"/>
      <family val="1"/>
    </font>
    <font>
      <sz val="10"/>
      <name val="Arial"/>
      <family val="2"/>
    </font>
    <font>
      <sz val="14"/>
      <name val="SV Rojchana"/>
      <family val="0"/>
    </font>
    <font>
      <sz val="11"/>
      <name val="?? ?????"/>
      <family val="3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2"/>
      <name val="Times New Roman"/>
      <family val="1"/>
    </font>
    <font>
      <sz val="12"/>
      <name val="????"/>
      <family val="0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3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b/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3.8"/>
      <name val="TH SarabunPSK"/>
      <family val="2"/>
    </font>
    <font>
      <sz val="15"/>
      <name val="Cordia New"/>
      <family val="2"/>
    </font>
    <font>
      <sz val="11"/>
      <color indexed="62"/>
      <name val="Calibri"/>
      <family val="2"/>
    </font>
    <font>
      <u val="single"/>
      <sz val="12"/>
      <color indexed="12"/>
      <name val="EucrosiaUPC"/>
      <family val="1"/>
    </font>
    <font>
      <u val="single"/>
      <sz val="12"/>
      <color indexed="36"/>
      <name val="EucrosiaUPC"/>
      <family val="1"/>
    </font>
    <font>
      <sz val="13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22"/>
      <name val="TH SarabunPSK"/>
      <family val="2"/>
    </font>
    <font>
      <sz val="14"/>
      <color indexed="12"/>
      <name val="TH SarabunPSK"/>
      <family val="2"/>
    </font>
    <font>
      <b/>
      <sz val="18"/>
      <name val="AngsanaUPC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ngsanaUPC"/>
      <family val="1"/>
    </font>
    <font>
      <b/>
      <sz val="14"/>
      <name val="CordiaUPC"/>
      <family val="2"/>
    </font>
    <font>
      <b/>
      <sz val="14"/>
      <name val="Cordia New"/>
      <family val="2"/>
    </font>
    <font>
      <b/>
      <sz val="14"/>
      <color indexed="10"/>
      <name val="CordiaUPC"/>
      <family val="2"/>
    </font>
    <font>
      <b/>
      <sz val="14"/>
      <color indexed="10"/>
      <name val="Cordia New"/>
      <family val="2"/>
    </font>
    <font>
      <b/>
      <sz val="14"/>
      <color indexed="12"/>
      <name val="CordiaUPC"/>
      <family val="2"/>
    </font>
    <font>
      <sz val="14"/>
      <color indexed="12"/>
      <name val="Cordia New"/>
      <family val="2"/>
    </font>
    <font>
      <i/>
      <sz val="14"/>
      <name val="CordiaUPC"/>
      <family val="2"/>
    </font>
    <font>
      <b/>
      <sz val="14"/>
      <color indexed="21"/>
      <name val="CordiaUPC"/>
      <family val="2"/>
    </font>
    <font>
      <b/>
      <sz val="14"/>
      <color indexed="8"/>
      <name val="CordiaUPC"/>
      <family val="2"/>
    </font>
    <font>
      <b/>
      <i/>
      <sz val="14"/>
      <color indexed="12"/>
      <name val="CordiaUPC"/>
      <family val="2"/>
    </font>
    <font>
      <b/>
      <i/>
      <sz val="14"/>
      <color indexed="8"/>
      <name val="CordiaUPC"/>
      <family val="2"/>
    </font>
    <font>
      <b/>
      <sz val="14"/>
      <color indexed="61"/>
      <name val="CordiaUPC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i/>
      <sz val="13"/>
      <name val="TH SarabunPSK"/>
      <family val="2"/>
    </font>
    <font>
      <b/>
      <u val="single"/>
      <sz val="14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color indexed="48"/>
      <name val="TH SarabunPSK"/>
      <family val="2"/>
    </font>
    <font>
      <sz val="14"/>
      <color indexed="22"/>
      <name val="TH SarabunPSK"/>
      <family val="2"/>
    </font>
    <font>
      <sz val="16"/>
      <color indexed="2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6"/>
      <color indexed="8"/>
      <name val="AngsanaUPC"/>
      <family val="2"/>
    </font>
    <font>
      <sz val="16"/>
      <color indexed="10"/>
      <name val="TH SarabunPSK"/>
      <family val="2"/>
    </font>
    <font>
      <sz val="16"/>
      <color theme="1"/>
      <name val="AngsanaUPC"/>
      <family val="2"/>
    </font>
    <font>
      <sz val="16"/>
      <color rgb="FFFF0000"/>
      <name val="TH SarabunPSK"/>
      <family val="2"/>
    </font>
    <font>
      <b/>
      <sz val="8"/>
      <name val="EucrosiaUPC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202" fontId="7" fillId="0" borderId="0" applyFont="0" applyFill="0" applyBorder="0" applyAlignment="0" applyProtection="0"/>
    <xf numFmtId="20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" fontId="8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9" fontId="5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0" borderId="0" applyFill="0" applyBorder="0" applyAlignment="0">
      <protection/>
    </xf>
    <xf numFmtId="199" fontId="8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0" fontId="9" fillId="0" borderId="0" applyFill="0" applyBorder="0" applyAlignment="0">
      <protection/>
    </xf>
    <xf numFmtId="197" fontId="9" fillId="0" borderId="0" applyFill="0" applyBorder="0" applyAlignment="0">
      <protection/>
    </xf>
    <xf numFmtId="199" fontId="8" fillId="0" borderId="0" applyFill="0" applyBorder="0" applyAlignment="0">
      <protection/>
    </xf>
    <xf numFmtId="0" fontId="16" fillId="17" borderId="1" applyNumberFormat="0" applyAlignment="0" applyProtection="0"/>
    <xf numFmtId="0" fontId="17" fillId="18" borderId="2" applyNumberFormat="0" applyAlignment="0" applyProtection="0"/>
    <xf numFmtId="200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187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199" fontId="8" fillId="0" borderId="0" applyFont="0" applyFill="0" applyBorder="0" applyAlignment="0" applyProtection="0"/>
    <xf numFmtId="15" fontId="57" fillId="0" borderId="0">
      <alignment/>
      <protection/>
    </xf>
    <xf numFmtId="14" fontId="18" fillId="0" borderId="0" applyFill="0" applyBorder="0" applyAlignment="0">
      <protection/>
    </xf>
    <xf numFmtId="200" fontId="9" fillId="0" borderId="0" applyFill="0" applyBorder="0" applyAlignment="0">
      <protection/>
    </xf>
    <xf numFmtId="199" fontId="8" fillId="0" borderId="0" applyFill="0" applyBorder="0" applyAlignment="0">
      <protection/>
    </xf>
    <xf numFmtId="200" fontId="9" fillId="0" borderId="0" applyFill="0" applyBorder="0" applyAlignment="0">
      <protection/>
    </xf>
    <xf numFmtId="197" fontId="9" fillId="0" borderId="0" applyFill="0" applyBorder="0" applyAlignment="0">
      <protection/>
    </xf>
    <xf numFmtId="199" fontId="8" fillId="0" borderId="0" applyFill="0" applyBorder="0" applyAlignment="0"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38" fontId="21" fillId="19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8" borderId="1" applyNumberFormat="0" applyAlignment="0" applyProtection="0"/>
    <xf numFmtId="10" fontId="21" fillId="5" borderId="8" applyNumberFormat="0" applyBorder="0" applyAlignment="0" applyProtection="0"/>
    <xf numFmtId="0" fontId="48" fillId="8" borderId="1" applyNumberFormat="0" applyAlignment="0" applyProtection="0"/>
    <xf numFmtId="200" fontId="9" fillId="0" borderId="0" applyFill="0" applyBorder="0" applyAlignment="0">
      <protection/>
    </xf>
    <xf numFmtId="199" fontId="8" fillId="0" borderId="0" applyFill="0" applyBorder="0" applyAlignment="0">
      <protection/>
    </xf>
    <xf numFmtId="200" fontId="9" fillId="0" borderId="0" applyFill="0" applyBorder="0" applyAlignment="0">
      <protection/>
    </xf>
    <xf numFmtId="197" fontId="9" fillId="0" borderId="0" applyFill="0" applyBorder="0" applyAlignment="0">
      <protection/>
    </xf>
    <xf numFmtId="199" fontId="8" fillId="0" borderId="0" applyFill="0" applyBorder="0" applyAlignment="0">
      <protection/>
    </xf>
    <xf numFmtId="0" fontId="27" fillId="0" borderId="9" applyNumberFormat="0" applyFill="0" applyAlignment="0" applyProtection="0"/>
    <xf numFmtId="0" fontId="28" fillId="8" borderId="0" applyNumberFormat="0" applyBorder="0" applyAlignment="0" applyProtection="0"/>
    <xf numFmtId="0" fontId="58" fillId="0" borderId="0">
      <alignment/>
      <protection/>
    </xf>
    <xf numFmtId="196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10" applyNumberFormat="0" applyFont="0" applyAlignment="0" applyProtection="0"/>
    <xf numFmtId="0" fontId="29" fillId="17" borderId="11" applyNumberFormat="0" applyAlignment="0" applyProtection="0"/>
    <xf numFmtId="0" fontId="30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9" fillId="0" borderId="0" applyFill="0" applyBorder="0" applyAlignment="0">
      <protection/>
    </xf>
    <xf numFmtId="199" fontId="8" fillId="0" borderId="0" applyFill="0" applyBorder="0" applyAlignment="0">
      <protection/>
    </xf>
    <xf numFmtId="200" fontId="9" fillId="0" borderId="0" applyFill="0" applyBorder="0" applyAlignment="0">
      <protection/>
    </xf>
    <xf numFmtId="197" fontId="9" fillId="0" borderId="0" applyFill="0" applyBorder="0" applyAlignment="0">
      <protection/>
    </xf>
    <xf numFmtId="199" fontId="8" fillId="0" borderId="0" applyFill="0" applyBorder="0" applyAlignment="0">
      <protection/>
    </xf>
    <xf numFmtId="0" fontId="5" fillId="0" borderId="0">
      <alignment/>
      <protection/>
    </xf>
    <xf numFmtId="49" fontId="18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195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17" borderId="1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18" borderId="2" applyNumberFormat="0" applyAlignment="0" applyProtection="0"/>
    <xf numFmtId="0" fontId="27" fillId="0" borderId="9" applyNumberFormat="0" applyFill="0" applyAlignment="0" applyProtection="0"/>
    <xf numFmtId="0" fontId="20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" borderId="1" applyNumberFormat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12" applyNumberFormat="0" applyFill="0" applyAlignment="0" applyProtection="0"/>
    <xf numFmtId="0" fontId="13" fillId="16" borderId="0" applyNumberFormat="0" applyBorder="0" applyAlignment="0" applyProtection="0"/>
    <xf numFmtId="0" fontId="5" fillId="0" borderId="0">
      <alignment/>
      <protection/>
    </xf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7" borderId="11" applyNumberFormat="0" applyAlignment="0" applyProtection="0"/>
    <xf numFmtId="0" fontId="0" fillId="5" borderId="10" applyNumberFormat="0" applyFon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13" xfId="141" applyFont="1" applyFill="1" applyBorder="1" applyAlignment="1">
      <alignment vertical="center"/>
      <protection/>
    </xf>
    <xf numFmtId="38" fontId="37" fillId="0" borderId="14" xfId="153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7" fillId="0" borderId="15" xfId="141" applyFont="1" applyFill="1" applyBorder="1" applyAlignment="1" quotePrefix="1">
      <alignment vertical="center"/>
      <protection/>
    </xf>
    <xf numFmtId="0" fontId="37" fillId="0" borderId="16" xfId="141" applyFont="1" applyFill="1" applyBorder="1" applyAlignment="1">
      <alignment vertical="center"/>
      <protection/>
    </xf>
    <xf numFmtId="0" fontId="37" fillId="0" borderId="17" xfId="141" applyFont="1" applyFill="1" applyBorder="1" applyAlignment="1">
      <alignment horizontal="center" vertical="center"/>
      <protection/>
    </xf>
    <xf numFmtId="3" fontId="37" fillId="0" borderId="17" xfId="141" applyNumberFormat="1" applyFont="1" applyFill="1" applyBorder="1" applyAlignment="1">
      <alignment vertical="center"/>
      <protection/>
    </xf>
    <xf numFmtId="0" fontId="37" fillId="0" borderId="17" xfId="141" applyFont="1" applyFill="1" applyBorder="1" applyAlignment="1">
      <alignment vertical="center"/>
      <protection/>
    </xf>
    <xf numFmtId="0" fontId="38" fillId="0" borderId="18" xfId="182" applyFont="1" applyFill="1" applyBorder="1" applyAlignment="1">
      <alignment vertical="center"/>
      <protection/>
    </xf>
    <xf numFmtId="49" fontId="37" fillId="0" borderId="19" xfId="141" applyNumberFormat="1" applyFont="1" applyFill="1" applyBorder="1" applyAlignment="1">
      <alignment vertical="center"/>
      <protection/>
    </xf>
    <xf numFmtId="49" fontId="37" fillId="0" borderId="20" xfId="153" applyNumberFormat="1" applyFont="1" applyFill="1" applyBorder="1" applyAlignment="1">
      <alignment vertical="center"/>
    </xf>
    <xf numFmtId="49" fontId="37" fillId="0" borderId="17" xfId="141" applyNumberFormat="1" applyFont="1" applyFill="1" applyBorder="1" applyAlignment="1">
      <alignment vertical="center"/>
      <protection/>
    </xf>
    <xf numFmtId="0" fontId="37" fillId="0" borderId="20" xfId="141" applyFont="1" applyFill="1" applyBorder="1" applyAlignment="1">
      <alignment vertical="center"/>
      <protection/>
    </xf>
    <xf numFmtId="49" fontId="37" fillId="0" borderId="19" xfId="141" applyNumberFormat="1" applyFont="1" applyFill="1" applyBorder="1" applyAlignment="1">
      <alignment horizontal="center" vertical="center"/>
      <protection/>
    </xf>
    <xf numFmtId="38" fontId="37" fillId="0" borderId="17" xfId="121" applyNumberFormat="1" applyFont="1" applyFill="1" applyBorder="1" applyAlignment="1" quotePrefix="1">
      <alignment horizontal="center" vertical="center"/>
      <protection/>
    </xf>
    <xf numFmtId="38" fontId="37" fillId="0" borderId="21" xfId="161" applyNumberFormat="1" applyFont="1" applyFill="1" applyBorder="1" applyAlignment="1">
      <alignment horizontal="center" vertical="center"/>
    </xf>
    <xf numFmtId="0" fontId="37" fillId="0" borderId="15" xfId="182" applyFont="1" applyFill="1" applyBorder="1" applyAlignment="1" quotePrefix="1">
      <alignment vertical="center"/>
      <protection/>
    </xf>
    <xf numFmtId="49" fontId="37" fillId="0" borderId="22" xfId="141" applyNumberFormat="1" applyFont="1" applyFill="1" applyBorder="1" applyAlignment="1">
      <alignment vertical="center"/>
      <protection/>
    </xf>
    <xf numFmtId="49" fontId="37" fillId="0" borderId="23" xfId="153" applyNumberFormat="1" applyFont="1" applyFill="1" applyBorder="1" applyAlignment="1">
      <alignment vertical="center"/>
    </xf>
    <xf numFmtId="38" fontId="37" fillId="0" borderId="16" xfId="161" applyNumberFormat="1" applyFont="1" applyFill="1" applyBorder="1" applyAlignment="1">
      <alignment vertical="center"/>
    </xf>
    <xf numFmtId="0" fontId="37" fillId="0" borderId="24" xfId="141" applyFont="1" applyFill="1" applyBorder="1" applyAlignment="1" quotePrefix="1">
      <alignment vertical="center"/>
      <protection/>
    </xf>
    <xf numFmtId="0" fontId="37" fillId="0" borderId="25" xfId="141" applyFont="1" applyFill="1" applyBorder="1" applyAlignment="1">
      <alignment vertical="center"/>
      <protection/>
    </xf>
    <xf numFmtId="0" fontId="37" fillId="0" borderId="26" xfId="141" applyFont="1" applyFill="1" applyBorder="1" applyAlignment="1" quotePrefix="1">
      <alignment vertical="center"/>
      <protection/>
    </xf>
    <xf numFmtId="49" fontId="37" fillId="0" borderId="27" xfId="141" applyNumberFormat="1" applyFont="1" applyFill="1" applyBorder="1" applyAlignment="1">
      <alignment horizontal="center" vertical="center"/>
      <protection/>
    </xf>
    <xf numFmtId="49" fontId="37" fillId="0" borderId="28" xfId="153" applyNumberFormat="1" applyFont="1" applyFill="1" applyBorder="1" applyAlignment="1">
      <alignment vertical="center"/>
    </xf>
    <xf numFmtId="49" fontId="37" fillId="0" borderId="29" xfId="141" applyNumberFormat="1" applyFont="1" applyFill="1" applyBorder="1" applyAlignment="1">
      <alignment vertical="center"/>
      <protection/>
    </xf>
    <xf numFmtId="0" fontId="37" fillId="0" borderId="30" xfId="182" applyFont="1" applyFill="1" applyBorder="1" applyAlignment="1">
      <alignment vertical="center"/>
      <protection/>
    </xf>
    <xf numFmtId="0" fontId="37" fillId="0" borderId="0" xfId="141" applyFont="1" applyFill="1" applyAlignment="1" quotePrefix="1">
      <alignment horizontal="left" vertical="center"/>
      <protection/>
    </xf>
    <xf numFmtId="0" fontId="37" fillId="0" borderId="0" xfId="141" applyFont="1" applyFill="1" applyAlignment="1">
      <alignment vertical="center"/>
      <protection/>
    </xf>
    <xf numFmtId="0" fontId="37" fillId="0" borderId="0" xfId="141" applyFont="1" applyFill="1" applyAlignment="1">
      <alignment horizontal="center" vertical="center"/>
      <protection/>
    </xf>
    <xf numFmtId="0" fontId="37" fillId="0" borderId="0" xfId="141" applyFont="1" applyFill="1" applyAlignment="1">
      <alignment horizontal="right" vertical="center"/>
      <protection/>
    </xf>
    <xf numFmtId="0" fontId="37" fillId="0" borderId="0" xfId="141" applyFont="1" applyFill="1" applyAlignment="1">
      <alignment horizontal="left" vertical="center"/>
      <protection/>
    </xf>
    <xf numFmtId="0" fontId="37" fillId="0" borderId="31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33" xfId="0" applyFont="1" applyFill="1" applyBorder="1" applyAlignment="1">
      <alignment/>
    </xf>
    <xf numFmtId="0" fontId="37" fillId="0" borderId="29" xfId="0" applyFont="1" applyFill="1" applyBorder="1" applyAlignment="1">
      <alignment/>
    </xf>
    <xf numFmtId="0" fontId="37" fillId="0" borderId="33" xfId="0" applyFont="1" applyFill="1" applyBorder="1" applyAlignment="1">
      <alignment horizontal="center"/>
    </xf>
    <xf numFmtId="0" fontId="37" fillId="0" borderId="30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34" xfId="0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35" xfId="0" applyFont="1" applyFill="1" applyBorder="1" applyAlignment="1">
      <alignment horizontal="center"/>
    </xf>
    <xf numFmtId="0" fontId="37" fillId="0" borderId="36" xfId="0" applyFont="1" applyFill="1" applyBorder="1" applyAlignment="1">
      <alignment/>
    </xf>
    <xf numFmtId="0" fontId="37" fillId="0" borderId="37" xfId="0" applyFont="1" applyFill="1" applyBorder="1" applyAlignment="1">
      <alignment/>
    </xf>
    <xf numFmtId="0" fontId="37" fillId="0" borderId="37" xfId="0" applyFont="1" applyFill="1" applyBorder="1" applyAlignment="1">
      <alignment horizontal="center"/>
    </xf>
    <xf numFmtId="38" fontId="37" fillId="0" borderId="37" xfId="153" applyNumberFormat="1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38" xfId="0" applyFont="1" applyFill="1" applyBorder="1" applyAlignment="1">
      <alignment horizontal="left"/>
    </xf>
    <xf numFmtId="0" fontId="40" fillId="0" borderId="16" xfId="0" applyFont="1" applyFill="1" applyBorder="1" applyAlignment="1" applyProtection="1">
      <alignment horizontal="left"/>
      <protection/>
    </xf>
    <xf numFmtId="0" fontId="40" fillId="0" borderId="37" xfId="0" applyFont="1" applyFill="1" applyBorder="1" applyAlignment="1" applyProtection="1">
      <alignment horizontal="center"/>
      <protection/>
    </xf>
    <xf numFmtId="3" fontId="40" fillId="0" borderId="37" xfId="0" applyNumberFormat="1" applyFont="1" applyFill="1" applyBorder="1" applyAlignment="1">
      <alignment horizontal="right"/>
    </xf>
    <xf numFmtId="3" fontId="40" fillId="0" borderId="37" xfId="0" applyNumberFormat="1" applyFont="1" applyFill="1" applyBorder="1" applyAlignment="1">
      <alignment/>
    </xf>
    <xf numFmtId="0" fontId="40" fillId="0" borderId="15" xfId="0" applyFont="1" applyFill="1" applyBorder="1" applyAlignment="1" applyProtection="1">
      <alignment horizontal="left"/>
      <protection/>
    </xf>
    <xf numFmtId="40" fontId="37" fillId="0" borderId="37" xfId="153" applyNumberFormat="1" applyFont="1" applyFill="1" applyBorder="1" applyAlignment="1">
      <alignment/>
    </xf>
    <xf numFmtId="190" fontId="37" fillId="0" borderId="37" xfId="153" applyNumberFormat="1" applyFont="1" applyFill="1" applyBorder="1" applyAlignment="1">
      <alignment horizontal="center" vertical="justify"/>
    </xf>
    <xf numFmtId="190" fontId="37" fillId="0" borderId="37" xfId="153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38" fontId="38" fillId="0" borderId="0" xfId="0" applyNumberFormat="1" applyFont="1" applyFill="1" applyAlignment="1">
      <alignment horizontal="center"/>
    </xf>
    <xf numFmtId="0" fontId="37" fillId="0" borderId="15" xfId="0" applyFont="1" applyFill="1" applyBorder="1" applyAlignment="1">
      <alignment horizontal="left"/>
    </xf>
    <xf numFmtId="0" fontId="37" fillId="0" borderId="39" xfId="0" applyFont="1" applyFill="1" applyBorder="1" applyAlignment="1">
      <alignment/>
    </xf>
    <xf numFmtId="38" fontId="37" fillId="0" borderId="39" xfId="153" applyNumberFormat="1" applyFont="1" applyFill="1" applyBorder="1" applyAlignment="1">
      <alignment/>
    </xf>
    <xf numFmtId="193" fontId="37" fillId="0" borderId="37" xfId="153" applyNumberFormat="1" applyFont="1" applyFill="1" applyBorder="1" applyAlignment="1">
      <alignment/>
    </xf>
    <xf numFmtId="0" fontId="38" fillId="0" borderId="37" xfId="0" applyFont="1" applyFill="1" applyBorder="1" applyAlignment="1">
      <alignment horizontal="center"/>
    </xf>
    <xf numFmtId="38" fontId="38" fillId="0" borderId="37" xfId="153" applyNumberFormat="1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7" fillId="0" borderId="37" xfId="0" applyFont="1" applyFill="1" applyBorder="1" applyAlignment="1">
      <alignment horizontal="right"/>
    </xf>
    <xf numFmtId="0" fontId="38" fillId="0" borderId="37" xfId="0" applyFont="1" applyFill="1" applyBorder="1" applyAlignment="1">
      <alignment/>
    </xf>
    <xf numFmtId="0" fontId="41" fillId="0" borderId="37" xfId="0" applyFont="1" applyFill="1" applyBorder="1" applyAlignment="1">
      <alignment horizontal="center"/>
    </xf>
    <xf numFmtId="3" fontId="41" fillId="0" borderId="37" xfId="0" applyNumberFormat="1" applyFont="1" applyFill="1" applyBorder="1" applyAlignment="1">
      <alignment horizontal="right"/>
    </xf>
    <xf numFmtId="0" fontId="41" fillId="0" borderId="37" xfId="0" applyFont="1" applyFill="1" applyBorder="1" applyAlignment="1">
      <alignment/>
    </xf>
    <xf numFmtId="3" fontId="41" fillId="0" borderId="37" xfId="0" applyNumberFormat="1" applyFont="1" applyFill="1" applyBorder="1" applyAlignment="1">
      <alignment horizontal="center"/>
    </xf>
    <xf numFmtId="190" fontId="37" fillId="0" borderId="37" xfId="153" applyNumberFormat="1" applyFont="1" applyFill="1" applyBorder="1" applyAlignment="1">
      <alignment/>
    </xf>
    <xf numFmtId="0" fontId="41" fillId="0" borderId="37" xfId="0" applyFont="1" applyFill="1" applyBorder="1" applyAlignment="1">
      <alignment/>
    </xf>
    <xf numFmtId="0" fontId="37" fillId="0" borderId="37" xfId="0" applyFont="1" applyFill="1" applyBorder="1" applyAlignment="1">
      <alignment horizontal="left"/>
    </xf>
    <xf numFmtId="0" fontId="38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37" fillId="0" borderId="37" xfId="0" applyFont="1" applyFill="1" applyBorder="1" applyAlignment="1">
      <alignment/>
    </xf>
    <xf numFmtId="3" fontId="37" fillId="0" borderId="37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 horizontal="center"/>
    </xf>
    <xf numFmtId="3" fontId="37" fillId="0" borderId="37" xfId="0" applyNumberFormat="1" applyFont="1" applyFill="1" applyBorder="1" applyAlignment="1">
      <alignment horizontal="center"/>
    </xf>
    <xf numFmtId="3" fontId="37" fillId="0" borderId="37" xfId="0" applyNumberFormat="1" applyFont="1" applyFill="1" applyBorder="1" applyAlignment="1">
      <alignment/>
    </xf>
    <xf numFmtId="0" fontId="43" fillId="0" borderId="17" xfId="0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7" fillId="0" borderId="37" xfId="153" applyNumberFormat="1" applyFont="1" applyFill="1" applyBorder="1" applyAlignment="1">
      <alignment horizontal="center"/>
    </xf>
    <xf numFmtId="3" fontId="37" fillId="0" borderId="37" xfId="0" applyNumberFormat="1" applyFont="1" applyFill="1" applyBorder="1" applyAlignment="1" applyProtection="1">
      <alignment/>
      <protection/>
    </xf>
    <xf numFmtId="190" fontId="37" fillId="0" borderId="37" xfId="153" applyNumberFormat="1" applyFont="1" applyFill="1" applyBorder="1" applyAlignment="1" applyProtection="1">
      <alignment/>
      <protection/>
    </xf>
    <xf numFmtId="0" fontId="37" fillId="0" borderId="37" xfId="0" applyFont="1" applyFill="1" applyBorder="1" applyAlignment="1" quotePrefix="1">
      <alignment horizontal="center"/>
    </xf>
    <xf numFmtId="0" fontId="37" fillId="0" borderId="15" xfId="0" applyFont="1" applyFill="1" applyBorder="1" applyAlignment="1" applyProtection="1">
      <alignment horizontal="left"/>
      <protection/>
    </xf>
    <xf numFmtId="0" fontId="37" fillId="0" borderId="16" xfId="0" applyFont="1" applyFill="1" applyBorder="1" applyAlignment="1" applyProtection="1" quotePrefix="1">
      <alignment horizontal="left"/>
      <protection/>
    </xf>
    <xf numFmtId="0" fontId="37" fillId="0" borderId="37" xfId="0" applyFont="1" applyFill="1" applyBorder="1" applyAlignment="1" applyProtection="1">
      <alignment horizontal="center"/>
      <protection/>
    </xf>
    <xf numFmtId="0" fontId="37" fillId="0" borderId="15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17" xfId="0" applyFont="1" applyFill="1" applyBorder="1" applyAlignment="1" applyProtection="1">
      <alignment horizontal="left"/>
      <protection/>
    </xf>
    <xf numFmtId="189" fontId="37" fillId="0" borderId="37" xfId="0" applyNumberFormat="1" applyFont="1" applyFill="1" applyBorder="1" applyAlignment="1" applyProtection="1">
      <alignment horizontal="center"/>
      <protection/>
    </xf>
    <xf numFmtId="0" fontId="37" fillId="0" borderId="17" xfId="0" applyFont="1" applyFill="1" applyBorder="1" applyAlignment="1" applyProtection="1">
      <alignment horizontal="justify"/>
      <protection/>
    </xf>
    <xf numFmtId="189" fontId="37" fillId="0" borderId="37" xfId="0" applyNumberFormat="1" applyFont="1" applyFill="1" applyBorder="1" applyAlignment="1" applyProtection="1" quotePrefix="1">
      <alignment horizontal="center"/>
      <protection/>
    </xf>
    <xf numFmtId="0" fontId="44" fillId="0" borderId="37" xfId="0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38" fontId="37" fillId="0" borderId="0" xfId="0" applyNumberFormat="1" applyFont="1" applyFill="1" applyAlignment="1">
      <alignment/>
    </xf>
    <xf numFmtId="0" fontId="37" fillId="0" borderId="15" xfId="0" applyFon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 quotePrefix="1">
      <alignment horizontal="left"/>
    </xf>
    <xf numFmtId="0" fontId="37" fillId="0" borderId="16" xfId="0" applyFont="1" applyFill="1" applyBorder="1" applyAlignment="1">
      <alignment horizontal="left"/>
    </xf>
    <xf numFmtId="0" fontId="37" fillId="0" borderId="15" xfId="0" applyFont="1" applyFill="1" applyBorder="1" applyAlignment="1">
      <alignment/>
    </xf>
    <xf numFmtId="190" fontId="37" fillId="0" borderId="37" xfId="153" applyNumberFormat="1" applyFont="1" applyFill="1" applyBorder="1" applyAlignment="1">
      <alignment/>
    </xf>
    <xf numFmtId="190" fontId="37" fillId="0" borderId="16" xfId="153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37" fillId="0" borderId="37" xfId="0" applyFont="1" applyFill="1" applyBorder="1" applyAlignment="1" quotePrefix="1">
      <alignment horizontal="centerContinuous"/>
    </xf>
    <xf numFmtId="190" fontId="38" fillId="0" borderId="0" xfId="0" applyNumberFormat="1" applyFont="1" applyFill="1" applyAlignment="1">
      <alignment horizontal="center"/>
    </xf>
    <xf numFmtId="187" fontId="38" fillId="0" borderId="0" xfId="0" applyNumberFormat="1" applyFont="1" applyFill="1" applyAlignment="1">
      <alignment horizontal="center"/>
    </xf>
    <xf numFmtId="0" fontId="38" fillId="0" borderId="39" xfId="0" applyFont="1" applyFill="1" applyBorder="1" applyAlignment="1">
      <alignment horizontal="center"/>
    </xf>
    <xf numFmtId="38" fontId="38" fillId="0" borderId="39" xfId="153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90" fontId="38" fillId="0" borderId="18" xfId="153" applyNumberFormat="1" applyFont="1" applyFill="1" applyBorder="1" applyAlignment="1" applyProtection="1">
      <alignment vertical="center"/>
      <protection/>
    </xf>
    <xf numFmtId="190" fontId="38" fillId="0" borderId="17" xfId="153" applyNumberFormat="1" applyFont="1" applyFill="1" applyBorder="1" applyAlignment="1" applyProtection="1">
      <alignment vertical="center"/>
      <protection/>
    </xf>
    <xf numFmtId="190" fontId="38" fillId="0" borderId="41" xfId="153" applyNumberFormat="1" applyFont="1" applyFill="1" applyBorder="1" applyAlignment="1" applyProtection="1">
      <alignment vertical="center"/>
      <protection/>
    </xf>
    <xf numFmtId="190" fontId="38" fillId="0" borderId="26" xfId="153" applyNumberFormat="1" applyFont="1" applyFill="1" applyBorder="1" applyAlignment="1" applyProtection="1">
      <alignment vertical="center"/>
      <protection/>
    </xf>
    <xf numFmtId="190" fontId="38" fillId="0" borderId="42" xfId="153" applyNumberFormat="1" applyFont="1" applyFill="1" applyBorder="1" applyAlignment="1" applyProtection="1">
      <alignment horizontal="left" vertical="center"/>
      <protection/>
    </xf>
    <xf numFmtId="190" fontId="38" fillId="0" borderId="18" xfId="153" applyNumberFormat="1" applyFont="1" applyFill="1" applyBorder="1" applyAlignment="1" applyProtection="1">
      <alignment horizontal="left" vertical="center"/>
      <protection/>
    </xf>
    <xf numFmtId="0" fontId="37" fillId="0" borderId="18" xfId="121" applyFont="1" applyFill="1" applyBorder="1" applyAlignment="1">
      <alignment vertical="center"/>
      <protection/>
    </xf>
    <xf numFmtId="190" fontId="38" fillId="0" borderId="18" xfId="153" applyNumberFormat="1" applyFont="1" applyFill="1" applyBorder="1" applyAlignment="1" applyProtection="1">
      <alignment horizontal="center" vertical="center"/>
      <protection/>
    </xf>
    <xf numFmtId="190" fontId="38" fillId="0" borderId="18" xfId="153" applyNumberFormat="1" applyFont="1" applyFill="1" applyBorder="1" applyAlignment="1" applyProtection="1">
      <alignment horizontal="right" vertical="center"/>
      <protection/>
    </xf>
    <xf numFmtId="190" fontId="38" fillId="0" borderId="43" xfId="153" applyNumberFormat="1" applyFont="1" applyFill="1" applyBorder="1" applyAlignment="1" applyProtection="1">
      <alignment vertical="center"/>
      <protection/>
    </xf>
    <xf numFmtId="0" fontId="37" fillId="0" borderId="15" xfId="0" applyFont="1" applyFill="1" applyBorder="1" applyAlignment="1" applyProtection="1">
      <alignment horizontal="left" vertical="center"/>
      <protection/>
    </xf>
    <xf numFmtId="0" fontId="37" fillId="0" borderId="17" xfId="0" applyFont="1" applyFill="1" applyBorder="1" applyAlignment="1" applyProtection="1">
      <alignment horizontal="left" vertical="center"/>
      <protection/>
    </xf>
    <xf numFmtId="0" fontId="37" fillId="0" borderId="17" xfId="121" applyFont="1" applyFill="1" applyBorder="1" applyAlignment="1">
      <alignment vertical="center"/>
      <protection/>
    </xf>
    <xf numFmtId="190" fontId="38" fillId="0" borderId="17" xfId="153" applyNumberFormat="1" applyFont="1" applyFill="1" applyBorder="1" applyAlignment="1" applyProtection="1">
      <alignment horizontal="center" vertical="center"/>
      <protection/>
    </xf>
    <xf numFmtId="190" fontId="38" fillId="0" borderId="17" xfId="153" applyNumberFormat="1" applyFont="1" applyFill="1" applyBorder="1" applyAlignment="1" applyProtection="1">
      <alignment horizontal="right" vertical="center"/>
      <protection/>
    </xf>
    <xf numFmtId="190" fontId="38" fillId="0" borderId="16" xfId="153" applyNumberFormat="1" applyFont="1" applyFill="1" applyBorder="1" applyAlignment="1" applyProtection="1">
      <alignment vertical="center"/>
      <protection/>
    </xf>
    <xf numFmtId="0" fontId="37" fillId="0" borderId="17" xfId="121" applyFont="1" applyFill="1" applyBorder="1" applyAlignment="1">
      <alignment horizontal="left" vertical="center"/>
      <protection/>
    </xf>
    <xf numFmtId="190" fontId="38" fillId="0" borderId="41" xfId="153" applyNumberFormat="1" applyFont="1" applyFill="1" applyBorder="1" applyAlignment="1" applyProtection="1">
      <alignment horizontal="center" vertical="center"/>
      <protection/>
    </xf>
    <xf numFmtId="190" fontId="38" fillId="0" borderId="41" xfId="153" applyNumberFormat="1" applyFont="1" applyFill="1" applyBorder="1" applyAlignment="1" applyProtection="1">
      <alignment horizontal="right" vertical="center"/>
      <protection/>
    </xf>
    <xf numFmtId="190" fontId="38" fillId="0" borderId="44" xfId="153" applyNumberFormat="1" applyFont="1" applyFill="1" applyBorder="1" applyAlignment="1" applyProtection="1">
      <alignment vertical="center"/>
      <protection/>
    </xf>
    <xf numFmtId="0" fontId="37" fillId="0" borderId="24" xfId="0" applyFont="1" applyFill="1" applyBorder="1" applyAlignment="1" applyProtection="1">
      <alignment horizontal="left" vertical="center"/>
      <protection/>
    </xf>
    <xf numFmtId="0" fontId="37" fillId="0" borderId="26" xfId="0" applyFont="1" applyFill="1" applyBorder="1" applyAlignment="1" applyProtection="1">
      <alignment horizontal="left" vertical="center"/>
      <protection/>
    </xf>
    <xf numFmtId="0" fontId="37" fillId="0" borderId="26" xfId="121" applyFont="1" applyFill="1" applyBorder="1" applyAlignment="1">
      <alignment vertical="center"/>
      <protection/>
    </xf>
    <xf numFmtId="190" fontId="38" fillId="0" borderId="26" xfId="153" applyNumberFormat="1" applyFont="1" applyFill="1" applyBorder="1" applyAlignment="1" applyProtection="1">
      <alignment horizontal="center" vertical="center"/>
      <protection/>
    </xf>
    <xf numFmtId="190" fontId="38" fillId="0" borderId="26" xfId="153" applyNumberFormat="1" applyFont="1" applyFill="1" applyBorder="1" applyAlignment="1" applyProtection="1">
      <alignment horizontal="right" vertical="center"/>
      <protection/>
    </xf>
    <xf numFmtId="190" fontId="38" fillId="0" borderId="25" xfId="153" applyNumberFormat="1" applyFont="1" applyFill="1" applyBorder="1" applyAlignment="1" applyProtection="1">
      <alignment vertical="center"/>
      <protection/>
    </xf>
    <xf numFmtId="0" fontId="37" fillId="0" borderId="14" xfId="141" applyFont="1" applyFill="1" applyBorder="1" applyAlignment="1">
      <alignment horizontal="left" vertical="center"/>
      <protection/>
    </xf>
    <xf numFmtId="38" fontId="38" fillId="0" borderId="0" xfId="128" applyNumberFormat="1" applyFont="1" applyAlignment="1">
      <alignment vertical="center"/>
      <protection/>
    </xf>
    <xf numFmtId="0" fontId="37" fillId="0" borderId="0" xfId="128" applyFont="1" applyAlignment="1">
      <alignment vertical="center"/>
      <protection/>
    </xf>
    <xf numFmtId="0" fontId="41" fillId="0" borderId="0" xfId="128" applyFont="1" applyAlignment="1">
      <alignment vertical="center"/>
      <protection/>
    </xf>
    <xf numFmtId="0" fontId="37" fillId="0" borderId="0" xfId="122" applyFont="1" applyAlignment="1">
      <alignment vertical="center"/>
      <protection/>
    </xf>
    <xf numFmtId="49" fontId="38" fillId="0" borderId="0" xfId="128" applyNumberFormat="1" applyFont="1" applyAlignment="1">
      <alignment vertical="center"/>
      <protection/>
    </xf>
    <xf numFmtId="49" fontId="41" fillId="0" borderId="0" xfId="128" applyNumberFormat="1" applyFont="1" applyAlignment="1">
      <alignment vertical="center"/>
      <protection/>
    </xf>
    <xf numFmtId="0" fontId="38" fillId="0" borderId="0" xfId="128" applyFont="1" applyAlignment="1">
      <alignment horizontal="center" vertical="center"/>
      <protection/>
    </xf>
    <xf numFmtId="0" fontId="37" fillId="0" borderId="0" xfId="128" applyFont="1" applyAlignment="1">
      <alignment horizontal="center" vertical="center"/>
      <protection/>
    </xf>
    <xf numFmtId="0" fontId="37" fillId="0" borderId="45" xfId="182" applyFont="1" applyFill="1" applyBorder="1" applyAlignment="1" quotePrefix="1">
      <alignment vertical="center"/>
      <protection/>
    </xf>
    <xf numFmtId="0" fontId="37" fillId="0" borderId="37" xfId="182" applyFont="1" applyFill="1" applyBorder="1" applyAlignment="1">
      <alignment vertical="center"/>
      <protection/>
    </xf>
    <xf numFmtId="0" fontId="37" fillId="0" borderId="33" xfId="182" applyFont="1" applyFill="1" applyBorder="1" applyAlignment="1" quotePrefix="1">
      <alignment vertical="center"/>
      <protection/>
    </xf>
    <xf numFmtId="0" fontId="46" fillId="0" borderId="42" xfId="141" applyFont="1" applyFill="1" applyBorder="1" applyAlignment="1" quotePrefix="1">
      <alignment vertical="center"/>
      <protection/>
    </xf>
    <xf numFmtId="0" fontId="38" fillId="0" borderId="15" xfId="141" applyFont="1" applyFill="1" applyBorder="1" applyAlignment="1" quotePrefix="1">
      <alignment vertical="center"/>
      <protection/>
    </xf>
    <xf numFmtId="0" fontId="38" fillId="0" borderId="14" xfId="141" applyFont="1" applyFill="1" applyBorder="1" applyAlignment="1">
      <alignment vertical="center"/>
      <protection/>
    </xf>
    <xf numFmtId="0" fontId="37" fillId="0" borderId="16" xfId="0" applyFont="1" applyFill="1" applyBorder="1" applyAlignment="1">
      <alignment horizontal="centerContinuous" vertical="center"/>
    </xf>
    <xf numFmtId="3" fontId="37" fillId="0" borderId="37" xfId="153" applyNumberFormat="1" applyFont="1" applyFill="1" applyBorder="1" applyAlignment="1">
      <alignment horizontal="left"/>
    </xf>
    <xf numFmtId="3" fontId="37" fillId="0" borderId="37" xfId="0" applyNumberFormat="1" applyFont="1" applyFill="1" applyBorder="1" applyAlignment="1">
      <alignment horizontal="left"/>
    </xf>
    <xf numFmtId="1" fontId="38" fillId="0" borderId="37" xfId="0" applyNumberFormat="1" applyFont="1" applyFill="1" applyBorder="1" applyAlignment="1" applyProtection="1">
      <alignment horizontal="center"/>
      <protection/>
    </xf>
    <xf numFmtId="0" fontId="38" fillId="0" borderId="15" xfId="0" applyFont="1" applyFill="1" applyBorder="1" applyAlignment="1">
      <alignment horizontal="left" vertical="center"/>
    </xf>
    <xf numFmtId="0" fontId="37" fillId="0" borderId="17" xfId="0" applyFont="1" applyFill="1" applyBorder="1" applyAlignment="1" quotePrefix="1">
      <alignment horizontal="left"/>
    </xf>
    <xf numFmtId="0" fontId="43" fillId="0" borderId="18" xfId="122" applyFont="1" applyFill="1" applyBorder="1" applyAlignment="1">
      <alignment vertical="center"/>
      <protection/>
    </xf>
    <xf numFmtId="0" fontId="40" fillId="0" borderId="18" xfId="122" applyFont="1" applyFill="1" applyBorder="1" applyAlignment="1">
      <alignment vertical="center"/>
      <protection/>
    </xf>
    <xf numFmtId="0" fontId="35" fillId="0" borderId="18" xfId="122" applyFont="1" applyFill="1" applyBorder="1" applyAlignment="1">
      <alignment vertical="center"/>
      <protection/>
    </xf>
    <xf numFmtId="0" fontId="34" fillId="0" borderId="18" xfId="122" applyFont="1" applyFill="1" applyBorder="1" applyAlignment="1">
      <alignment vertical="center"/>
      <protection/>
    </xf>
    <xf numFmtId="0" fontId="38" fillId="0" borderId="17" xfId="0" applyFont="1" applyFill="1" applyBorder="1" applyAlignment="1">
      <alignment horizontal="left"/>
    </xf>
    <xf numFmtId="0" fontId="41" fillId="0" borderId="0" xfId="126" applyFont="1" applyAlignment="1">
      <alignment vertical="center"/>
      <protection/>
    </xf>
    <xf numFmtId="209" fontId="37" fillId="0" borderId="37" xfId="153" applyNumberFormat="1" applyFont="1" applyFill="1" applyBorder="1" applyAlignment="1">
      <alignment/>
    </xf>
    <xf numFmtId="2" fontId="37" fillId="0" borderId="37" xfId="0" applyNumberFormat="1" applyFont="1" applyFill="1" applyBorder="1" applyAlignment="1" quotePrefix="1">
      <alignment horizontal="center"/>
    </xf>
    <xf numFmtId="0" fontId="38" fillId="0" borderId="18" xfId="0" applyFont="1" applyFill="1" applyBorder="1" applyAlignment="1">
      <alignment horizontal="center"/>
    </xf>
    <xf numFmtId="0" fontId="37" fillId="0" borderId="0" xfId="121" applyFont="1" applyAlignment="1">
      <alignment vertical="center"/>
      <protection/>
    </xf>
    <xf numFmtId="0" fontId="43" fillId="0" borderId="42" xfId="121" applyFont="1" applyBorder="1" applyAlignment="1" quotePrefix="1">
      <alignment horizontal="left" vertical="center"/>
      <protection/>
    </xf>
    <xf numFmtId="0" fontId="40" fillId="0" borderId="13" xfId="121" applyFont="1" applyFill="1" applyBorder="1" applyAlignment="1">
      <alignment horizontal="centerContinuous" vertical="center"/>
      <protection/>
    </xf>
    <xf numFmtId="0" fontId="43" fillId="0" borderId="14" xfId="121" applyFont="1" applyBorder="1" applyAlignment="1">
      <alignment horizontal="left" vertical="center"/>
      <protection/>
    </xf>
    <xf numFmtId="0" fontId="43" fillId="0" borderId="38" xfId="121" applyFont="1" applyBorder="1" applyAlignment="1" quotePrefix="1">
      <alignment horizontal="left" vertical="center"/>
      <protection/>
    </xf>
    <xf numFmtId="0" fontId="43" fillId="0" borderId="30" xfId="121" applyFont="1" applyBorder="1" applyAlignment="1">
      <alignment horizontal="centerContinuous" vertical="center"/>
      <protection/>
    </xf>
    <xf numFmtId="0" fontId="43" fillId="0" borderId="0" xfId="121" applyFont="1" applyBorder="1" applyAlignment="1">
      <alignment horizontal="left" vertical="center"/>
      <protection/>
    </xf>
    <xf numFmtId="0" fontId="43" fillId="0" borderId="31" xfId="121" applyFont="1" applyBorder="1" applyAlignment="1">
      <alignment horizontal="center" vertical="center"/>
      <protection/>
    </xf>
    <xf numFmtId="0" fontId="43" fillId="0" borderId="46" xfId="121" applyFont="1" applyBorder="1" applyAlignment="1" applyProtection="1">
      <alignment horizontal="center" vertical="center"/>
      <protection locked="0"/>
    </xf>
    <xf numFmtId="0" fontId="43" fillId="0" borderId="33" xfId="121" applyFont="1" applyBorder="1" applyAlignment="1">
      <alignment horizontal="center" vertical="center"/>
      <protection/>
    </xf>
    <xf numFmtId="0" fontId="43" fillId="0" borderId="29" xfId="121" applyFont="1" applyBorder="1" applyAlignment="1">
      <alignment horizontal="centerContinuous" vertical="center"/>
      <protection/>
    </xf>
    <xf numFmtId="0" fontId="40" fillId="0" borderId="34" xfId="121" applyFont="1" applyBorder="1" applyAlignment="1">
      <alignment horizontal="center" vertical="center"/>
      <protection/>
    </xf>
    <xf numFmtId="0" fontId="38" fillId="0" borderId="14" xfId="121" applyFont="1" applyBorder="1" applyAlignment="1">
      <alignment horizontal="left" vertical="center"/>
      <protection/>
    </xf>
    <xf numFmtId="3" fontId="40" fillId="0" borderId="34" xfId="121" applyNumberFormat="1" applyFont="1" applyBorder="1" applyAlignment="1">
      <alignment horizontal="right" vertical="center"/>
      <protection/>
    </xf>
    <xf numFmtId="3" fontId="40" fillId="0" borderId="14" xfId="121" applyNumberFormat="1" applyFont="1" applyBorder="1" applyAlignment="1">
      <alignment vertical="center"/>
      <protection/>
    </xf>
    <xf numFmtId="3" fontId="40" fillId="0" borderId="34" xfId="121" applyNumberFormat="1" applyFont="1" applyBorder="1" applyAlignment="1">
      <alignment horizontal="center" vertical="center"/>
      <protection/>
    </xf>
    <xf numFmtId="0" fontId="43" fillId="0" borderId="45" xfId="121" applyFont="1" applyBorder="1" applyAlignment="1">
      <alignment horizontal="center" vertical="center"/>
      <protection/>
    </xf>
    <xf numFmtId="0" fontId="43" fillId="0" borderId="18" xfId="121" applyFont="1" applyBorder="1" applyAlignment="1">
      <alignment vertical="center"/>
      <protection/>
    </xf>
    <xf numFmtId="0" fontId="40" fillId="0" borderId="18" xfId="121" applyFont="1" applyBorder="1" applyAlignment="1">
      <alignment vertical="center"/>
      <protection/>
    </xf>
    <xf numFmtId="3" fontId="40" fillId="0" borderId="45" xfId="121" applyNumberFormat="1" applyFont="1" applyBorder="1" applyAlignment="1">
      <alignment horizontal="right" vertical="center"/>
      <protection/>
    </xf>
    <xf numFmtId="3" fontId="40" fillId="0" borderId="18" xfId="121" applyNumberFormat="1" applyFont="1" applyBorder="1" applyAlignment="1">
      <alignment vertical="center"/>
      <protection/>
    </xf>
    <xf numFmtId="4" fontId="40" fillId="0" borderId="45" xfId="121" applyNumberFormat="1" applyFont="1" applyBorder="1" applyAlignment="1">
      <alignment horizontal="center" vertical="center"/>
      <protection/>
    </xf>
    <xf numFmtId="0" fontId="40" fillId="0" borderId="45" xfId="121" applyFont="1" applyBorder="1" applyAlignment="1">
      <alignment horizontal="center" vertical="center"/>
      <protection/>
    </xf>
    <xf numFmtId="0" fontId="51" fillId="0" borderId="18" xfId="121" applyFont="1" applyBorder="1" applyAlignment="1">
      <alignment vertical="center"/>
      <protection/>
    </xf>
    <xf numFmtId="3" fontId="40" fillId="0" borderId="18" xfId="183" applyNumberFormat="1" applyFont="1" applyBorder="1" applyAlignment="1">
      <alignment horizontal="right" vertical="center"/>
      <protection/>
    </xf>
    <xf numFmtId="3" fontId="40" fillId="0" borderId="15" xfId="121" applyNumberFormat="1" applyFont="1" applyBorder="1" applyAlignment="1">
      <alignment horizontal="left" vertical="center" indent="5"/>
      <protection/>
    </xf>
    <xf numFmtId="0" fontId="40" fillId="17" borderId="16" xfId="120" applyFont="1" applyFill="1" applyBorder="1" applyAlignment="1">
      <alignment vertical="center"/>
      <protection/>
    </xf>
    <xf numFmtId="3" fontId="40" fillId="0" borderId="43" xfId="183" applyNumberFormat="1" applyFont="1" applyBorder="1" applyAlignment="1">
      <alignment horizontal="right" vertical="center"/>
      <protection/>
    </xf>
    <xf numFmtId="3" fontId="40" fillId="0" borderId="38" xfId="121" applyNumberFormat="1" applyFont="1" applyBorder="1" applyAlignment="1">
      <alignment horizontal="left" vertical="center" indent="5"/>
      <protection/>
    </xf>
    <xf numFmtId="0" fontId="40" fillId="17" borderId="16" xfId="120" applyFont="1" applyFill="1" applyBorder="1" applyAlignment="1">
      <alignment horizontal="left" vertical="center"/>
      <protection/>
    </xf>
    <xf numFmtId="0" fontId="40" fillId="0" borderId="18" xfId="0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vertical="center"/>
    </xf>
    <xf numFmtId="0" fontId="40" fillId="0" borderId="18" xfId="121" applyFont="1" applyBorder="1" applyAlignment="1">
      <alignment horizontal="left" vertical="center" indent="3"/>
      <protection/>
    </xf>
    <xf numFmtId="0" fontId="40" fillId="0" borderId="35" xfId="121" applyFont="1" applyBorder="1" applyAlignment="1">
      <alignment horizontal="center" vertical="center"/>
      <protection/>
    </xf>
    <xf numFmtId="0" fontId="40" fillId="0" borderId="0" xfId="121" applyFont="1" applyBorder="1" applyAlignment="1">
      <alignment vertical="center"/>
      <protection/>
    </xf>
    <xf numFmtId="3" fontId="40" fillId="0" borderId="35" xfId="121" applyNumberFormat="1" applyFont="1" applyBorder="1" applyAlignment="1">
      <alignment horizontal="right" vertical="center"/>
      <protection/>
    </xf>
    <xf numFmtId="3" fontId="40" fillId="0" borderId="0" xfId="121" applyNumberFormat="1" applyFont="1" applyBorder="1" applyAlignment="1">
      <alignment vertical="center"/>
      <protection/>
    </xf>
    <xf numFmtId="4" fontId="40" fillId="0" borderId="35" xfId="121" applyNumberFormat="1" applyFont="1" applyBorder="1" applyAlignment="1">
      <alignment horizontal="center" vertical="center"/>
      <protection/>
    </xf>
    <xf numFmtId="0" fontId="40" fillId="0" borderId="8" xfId="121" applyFont="1" applyBorder="1" applyAlignment="1">
      <alignment horizontal="center" vertical="center"/>
      <protection/>
    </xf>
    <xf numFmtId="0" fontId="40" fillId="0" borderId="4" xfId="121" applyFont="1" applyBorder="1" applyAlignment="1">
      <alignment horizontal="left" vertical="center"/>
      <protection/>
    </xf>
    <xf numFmtId="0" fontId="43" fillId="0" borderId="4" xfId="121" applyFont="1" applyBorder="1" applyAlignment="1">
      <alignment horizontal="right" vertical="center"/>
      <protection/>
    </xf>
    <xf numFmtId="3" fontId="43" fillId="0" borderId="8" xfId="121" applyNumberFormat="1" applyFont="1" applyBorder="1" applyAlignment="1">
      <alignment horizontal="right" vertical="center"/>
      <protection/>
    </xf>
    <xf numFmtId="3" fontId="43" fillId="0" borderId="4" xfId="121" applyNumberFormat="1" applyFont="1" applyBorder="1" applyAlignment="1">
      <alignment vertical="center"/>
      <protection/>
    </xf>
    <xf numFmtId="4" fontId="40" fillId="0" borderId="8" xfId="121" applyNumberFormat="1" applyFont="1" applyBorder="1" applyAlignment="1">
      <alignment horizontal="center" vertical="center"/>
      <protection/>
    </xf>
    <xf numFmtId="0" fontId="43" fillId="0" borderId="45" xfId="122" applyFont="1" applyFill="1" applyBorder="1" applyAlignment="1">
      <alignment horizontal="center" vertical="center"/>
      <protection/>
    </xf>
    <xf numFmtId="3" fontId="40" fillId="0" borderId="45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vertical="center"/>
    </xf>
    <xf numFmtId="4" fontId="40" fillId="0" borderId="37" xfId="121" applyNumberFormat="1" applyFont="1" applyBorder="1" applyAlignment="1">
      <alignment horizontal="center" vertical="center"/>
      <protection/>
    </xf>
    <xf numFmtId="0" fontId="40" fillId="0" borderId="45" xfId="122" applyFont="1" applyFill="1" applyBorder="1" applyAlignment="1">
      <alignment horizontal="center" vertical="center"/>
      <protection/>
    </xf>
    <xf numFmtId="0" fontId="40" fillId="0" borderId="18" xfId="122" applyFont="1" applyFill="1" applyBorder="1" applyAlignment="1">
      <alignment horizontal="right" vertical="center"/>
      <protection/>
    </xf>
    <xf numFmtId="0" fontId="40" fillId="0" borderId="18" xfId="120" applyFont="1" applyBorder="1" applyAlignment="1">
      <alignment/>
      <protection/>
    </xf>
    <xf numFmtId="3" fontId="40" fillId="0" borderId="45" xfId="120" applyNumberFormat="1" applyFont="1" applyBorder="1" applyAlignment="1">
      <alignment horizontal="right"/>
      <protection/>
    </xf>
    <xf numFmtId="0" fontId="40" fillId="0" borderId="4" xfId="121" applyFont="1" applyBorder="1" applyAlignment="1">
      <alignment vertical="center"/>
      <protection/>
    </xf>
    <xf numFmtId="3" fontId="43" fillId="0" borderId="8" xfId="121" applyNumberFormat="1" applyFont="1" applyBorder="1" applyAlignment="1">
      <alignment vertical="center"/>
      <protection/>
    </xf>
    <xf numFmtId="0" fontId="40" fillId="0" borderId="42" xfId="121" applyFont="1" applyBorder="1" applyAlignment="1">
      <alignment vertical="center"/>
      <protection/>
    </xf>
    <xf numFmtId="0" fontId="43" fillId="0" borderId="13" xfId="121" applyFont="1" applyBorder="1" applyAlignment="1">
      <alignment horizontal="right" vertical="center"/>
      <protection/>
    </xf>
    <xf numFmtId="3" fontId="43" fillId="0" borderId="34" xfId="121" applyNumberFormat="1" applyFont="1" applyBorder="1" applyAlignment="1">
      <alignment vertical="center"/>
      <protection/>
    </xf>
    <xf numFmtId="4" fontId="40" fillId="0" borderId="34" xfId="121" applyNumberFormat="1" applyFont="1" applyBorder="1" applyAlignment="1">
      <alignment horizontal="center" vertical="center"/>
      <protection/>
    </xf>
    <xf numFmtId="0" fontId="43" fillId="0" borderId="38" xfId="122" applyFont="1" applyFill="1" applyBorder="1" applyAlignment="1">
      <alignment vertical="center"/>
      <protection/>
    </xf>
    <xf numFmtId="0" fontId="52" fillId="0" borderId="45" xfId="122" applyFont="1" applyFill="1" applyBorder="1" applyAlignment="1">
      <alignment horizontal="center" vertical="center"/>
      <protection/>
    </xf>
    <xf numFmtId="3" fontId="40" fillId="0" borderId="37" xfId="0" applyNumberFormat="1" applyFont="1" applyFill="1" applyBorder="1" applyAlignment="1">
      <alignment horizontal="right" vertical="center"/>
    </xf>
    <xf numFmtId="3" fontId="40" fillId="0" borderId="17" xfId="0" applyNumberFormat="1" applyFont="1" applyFill="1" applyBorder="1" applyAlignment="1">
      <alignment horizontal="right" vertical="center"/>
    </xf>
    <xf numFmtId="0" fontId="52" fillId="0" borderId="45" xfId="121" applyFont="1" applyBorder="1" applyAlignment="1">
      <alignment horizontal="center" vertical="center"/>
      <protection/>
    </xf>
    <xf numFmtId="0" fontId="40" fillId="0" borderId="18" xfId="121" applyFont="1" applyBorder="1" applyAlignment="1">
      <alignment horizontal="right" vertical="center"/>
      <protection/>
    </xf>
    <xf numFmtId="0" fontId="40" fillId="2" borderId="8" xfId="121" applyFont="1" applyFill="1" applyBorder="1" applyAlignment="1">
      <alignment horizontal="center" vertical="center"/>
      <protection/>
    </xf>
    <xf numFmtId="3" fontId="43" fillId="2" borderId="8" xfId="121" applyNumberFormat="1" applyFont="1" applyFill="1" applyBorder="1" applyAlignment="1">
      <alignment horizontal="right" vertical="center"/>
      <protection/>
    </xf>
    <xf numFmtId="3" fontId="43" fillId="2" borderId="4" xfId="121" applyNumberFormat="1" applyFont="1" applyFill="1" applyBorder="1" applyAlignment="1">
      <alignment vertical="center"/>
      <protection/>
    </xf>
    <xf numFmtId="4" fontId="44" fillId="2" borderId="8" xfId="121" applyNumberFormat="1" applyFont="1" applyFill="1" applyBorder="1" applyAlignment="1">
      <alignment horizontal="center" vertical="center"/>
      <protection/>
    </xf>
    <xf numFmtId="38" fontId="37" fillId="0" borderId="0" xfId="121" applyNumberFormat="1" applyFont="1" applyAlignment="1">
      <alignment vertical="center"/>
      <protection/>
    </xf>
    <xf numFmtId="0" fontId="40" fillId="0" borderId="34" xfId="122" applyFont="1" applyFill="1" applyBorder="1" applyAlignment="1">
      <alignment horizontal="center" vertical="center"/>
      <protection/>
    </xf>
    <xf numFmtId="3" fontId="40" fillId="0" borderId="34" xfId="0" applyNumberFormat="1" applyFont="1" applyFill="1" applyBorder="1" applyAlignment="1">
      <alignment horizontal="right" vertical="center"/>
    </xf>
    <xf numFmtId="3" fontId="40" fillId="0" borderId="14" xfId="0" applyNumberFormat="1" applyFont="1" applyFill="1" applyBorder="1" applyAlignment="1">
      <alignment vertical="center"/>
    </xf>
    <xf numFmtId="4" fontId="44" fillId="17" borderId="45" xfId="121" applyNumberFormat="1" applyFont="1" applyFill="1" applyBorder="1" applyAlignment="1">
      <alignment horizontal="center" vertical="center"/>
      <protection/>
    </xf>
    <xf numFmtId="38" fontId="37" fillId="0" borderId="0" xfId="153" applyNumberFormat="1" applyFont="1" applyAlignment="1">
      <alignment vertical="center"/>
    </xf>
    <xf numFmtId="0" fontId="37" fillId="0" borderId="17" xfId="118" applyFont="1" applyFill="1" applyBorder="1" applyAlignment="1" applyProtection="1">
      <alignment horizontal="left" vertical="center"/>
      <protection/>
    </xf>
    <xf numFmtId="0" fontId="40" fillId="0" borderId="0" xfId="120" applyFont="1" applyBorder="1" applyAlignment="1">
      <alignment horizontal="right"/>
      <protection/>
    </xf>
    <xf numFmtId="0" fontId="40" fillId="0" borderId="0" xfId="120" applyFont="1" applyBorder="1" applyAlignment="1">
      <alignment/>
      <protection/>
    </xf>
    <xf numFmtId="3" fontId="43" fillId="2" borderId="8" xfId="121" applyNumberFormat="1" applyFont="1" applyFill="1" applyBorder="1" applyAlignment="1">
      <alignment vertical="center"/>
      <protection/>
    </xf>
    <xf numFmtId="3" fontId="37" fillId="0" borderId="0" xfId="121" applyNumberFormat="1" applyFont="1" applyAlignment="1">
      <alignment vertical="center"/>
      <protection/>
    </xf>
    <xf numFmtId="4" fontId="44" fillId="17" borderId="37" xfId="121" applyNumberFormat="1" applyFont="1" applyFill="1" applyBorder="1" applyAlignment="1">
      <alignment horizontal="center" vertical="center"/>
      <protection/>
    </xf>
    <xf numFmtId="0" fontId="40" fillId="0" borderId="37" xfId="121" applyFont="1" applyBorder="1" applyAlignment="1">
      <alignment horizontal="center" vertical="center"/>
      <protection/>
    </xf>
    <xf numFmtId="0" fontId="40" fillId="0" borderId="17" xfId="121" applyFont="1" applyBorder="1" applyAlignment="1">
      <alignment vertical="center"/>
      <protection/>
    </xf>
    <xf numFmtId="3" fontId="40" fillId="0" borderId="37" xfId="121" applyNumberFormat="1" applyFont="1" applyBorder="1" applyAlignment="1">
      <alignment horizontal="right" vertical="center"/>
      <protection/>
    </xf>
    <xf numFmtId="3" fontId="40" fillId="0" borderId="17" xfId="121" applyNumberFormat="1" applyFont="1" applyBorder="1" applyAlignment="1">
      <alignment vertical="center"/>
      <protection/>
    </xf>
    <xf numFmtId="0" fontId="40" fillId="0" borderId="45" xfId="121" applyFont="1" applyFill="1" applyBorder="1" applyAlignment="1">
      <alignment horizontal="center" vertical="center"/>
      <protection/>
    </xf>
    <xf numFmtId="0" fontId="43" fillId="0" borderId="18" xfId="121" applyFont="1" applyFill="1" applyBorder="1" applyAlignment="1">
      <alignment horizontal="center" vertical="center"/>
      <protection/>
    </xf>
    <xf numFmtId="3" fontId="43" fillId="0" borderId="45" xfId="121" applyNumberFormat="1" applyFont="1" applyFill="1" applyBorder="1" applyAlignment="1">
      <alignment vertical="center"/>
      <protection/>
    </xf>
    <xf numFmtId="3" fontId="43" fillId="0" borderId="18" xfId="121" applyNumberFormat="1" applyFont="1" applyFill="1" applyBorder="1" applyAlignment="1">
      <alignment vertical="center"/>
      <protection/>
    </xf>
    <xf numFmtId="4" fontId="44" fillId="0" borderId="45" xfId="121" applyNumberFormat="1" applyFont="1" applyFill="1" applyBorder="1" applyAlignment="1">
      <alignment horizontal="center" vertical="center"/>
      <protection/>
    </xf>
    <xf numFmtId="0" fontId="37" fillId="0" borderId="0" xfId="121" applyFont="1" applyFill="1" applyAlignment="1">
      <alignment vertical="center"/>
      <protection/>
    </xf>
    <xf numFmtId="0" fontId="38" fillId="0" borderId="15" xfId="120" applyFont="1" applyFill="1" applyBorder="1" applyAlignment="1">
      <alignment horizontal="left" vertical="center"/>
      <protection/>
    </xf>
    <xf numFmtId="0" fontId="45" fillId="0" borderId="17" xfId="120" applyFont="1" applyBorder="1">
      <alignment/>
      <protection/>
    </xf>
    <xf numFmtId="0" fontId="41" fillId="0" borderId="37" xfId="120" applyFont="1" applyBorder="1">
      <alignment/>
      <protection/>
    </xf>
    <xf numFmtId="0" fontId="45" fillId="0" borderId="15" xfId="121" applyFont="1" applyBorder="1" applyAlignment="1">
      <alignment vertical="center"/>
      <protection/>
    </xf>
    <xf numFmtId="0" fontId="37" fillId="0" borderId="17" xfId="120" applyFont="1" applyBorder="1">
      <alignment/>
      <protection/>
    </xf>
    <xf numFmtId="0" fontId="37" fillId="0" borderId="37" xfId="120" applyFont="1" applyBorder="1">
      <alignment/>
      <protection/>
    </xf>
    <xf numFmtId="187" fontId="37" fillId="0" borderId="37" xfId="83" applyFont="1" applyBorder="1" applyAlignment="1">
      <alignment/>
    </xf>
    <xf numFmtId="0" fontId="40" fillId="0" borderId="47" xfId="121" applyFont="1" applyBorder="1" applyAlignment="1">
      <alignment horizontal="center" vertical="center"/>
      <protection/>
    </xf>
    <xf numFmtId="4" fontId="40" fillId="0" borderId="36" xfId="121" applyNumberFormat="1" applyFont="1" applyBorder="1" applyAlignment="1">
      <alignment horizontal="center" vertical="center"/>
      <protection/>
    </xf>
    <xf numFmtId="0" fontId="40" fillId="0" borderId="39" xfId="121" applyFont="1" applyBorder="1" applyAlignment="1">
      <alignment horizontal="center" vertical="center"/>
      <protection/>
    </xf>
    <xf numFmtId="0" fontId="40" fillId="0" borderId="26" xfId="121" applyFont="1" applyBorder="1" applyAlignment="1">
      <alignment vertical="center"/>
      <protection/>
    </xf>
    <xf numFmtId="3" fontId="40" fillId="0" borderId="39" xfId="121" applyNumberFormat="1" applyFont="1" applyBorder="1" applyAlignment="1">
      <alignment horizontal="right" vertical="center"/>
      <protection/>
    </xf>
    <xf numFmtId="3" fontId="40" fillId="0" borderId="26" xfId="121" applyNumberFormat="1" applyFont="1" applyBorder="1" applyAlignment="1">
      <alignment vertical="center"/>
      <protection/>
    </xf>
    <xf numFmtId="4" fontId="40" fillId="0" borderId="39" xfId="121" applyNumberFormat="1" applyFont="1" applyBorder="1" applyAlignment="1">
      <alignment horizontal="center" vertical="center"/>
      <protection/>
    </xf>
    <xf numFmtId="0" fontId="41" fillId="0" borderId="0" xfId="121" applyFont="1" applyAlignment="1">
      <alignment vertical="center"/>
      <protection/>
    </xf>
    <xf numFmtId="0" fontId="37" fillId="0" borderId="0" xfId="121" applyFont="1" applyAlignment="1">
      <alignment horizontal="centerContinuous" vertical="center"/>
      <protection/>
    </xf>
    <xf numFmtId="0" fontId="38" fillId="0" borderId="0" xfId="121" applyFont="1" applyAlignment="1" quotePrefix="1">
      <alignment horizontal="left" vertical="center"/>
      <protection/>
    </xf>
    <xf numFmtId="0" fontId="53" fillId="0" borderId="0" xfId="121" applyFont="1" applyAlignment="1" quotePrefix="1">
      <alignment horizontal="left" vertical="center"/>
      <protection/>
    </xf>
    <xf numFmtId="0" fontId="37" fillId="0" borderId="42" xfId="121" applyFont="1" applyBorder="1" applyAlignment="1">
      <alignment horizontal="left" vertical="center"/>
      <protection/>
    </xf>
    <xf numFmtId="0" fontId="38" fillId="0" borderId="14" xfId="121" applyFont="1" applyBorder="1" applyAlignment="1">
      <alignment vertical="center"/>
      <protection/>
    </xf>
    <xf numFmtId="0" fontId="37" fillId="0" borderId="14" xfId="121" applyFont="1" applyBorder="1" applyAlignment="1">
      <alignment vertical="center"/>
      <protection/>
    </xf>
    <xf numFmtId="0" fontId="37" fillId="0" borderId="14" xfId="121" applyFont="1" applyBorder="1" applyAlignment="1" quotePrefix="1">
      <alignment horizontal="left" vertical="center"/>
      <protection/>
    </xf>
    <xf numFmtId="0" fontId="38" fillId="17" borderId="13" xfId="121" applyFont="1" applyFill="1" applyBorder="1" applyAlignment="1">
      <alignment horizontal="center" vertical="center"/>
      <protection/>
    </xf>
    <xf numFmtId="0" fontId="37" fillId="0" borderId="15" xfId="121" applyFont="1" applyBorder="1" applyAlignment="1">
      <alignment horizontal="left" vertical="center"/>
      <protection/>
    </xf>
    <xf numFmtId="38" fontId="38" fillId="0" borderId="17" xfId="84" applyNumberFormat="1" applyFont="1" applyBorder="1" applyAlignment="1">
      <alignment horizontal="left" vertical="center"/>
    </xf>
    <xf numFmtId="0" fontId="38" fillId="0" borderId="17" xfId="121" applyFont="1" applyBorder="1" applyAlignment="1">
      <alignment horizontal="left" vertical="center"/>
      <protection/>
    </xf>
    <xf numFmtId="0" fontId="37" fillId="0" borderId="17" xfId="121" applyFont="1" applyBorder="1" applyAlignment="1">
      <alignment vertical="center"/>
      <protection/>
    </xf>
    <xf numFmtId="38" fontId="37" fillId="0" borderId="17" xfId="84" applyNumberFormat="1" applyFont="1" applyBorder="1" applyAlignment="1">
      <alignment horizontal="left" vertical="center"/>
    </xf>
    <xf numFmtId="38" fontId="37" fillId="0" borderId="43" xfId="84" applyNumberFormat="1" applyFont="1" applyBorder="1" applyAlignment="1" quotePrefix="1">
      <alignment horizontal="right" vertical="center"/>
    </xf>
    <xf numFmtId="0" fontId="37" fillId="0" borderId="17" xfId="121" applyFont="1" applyBorder="1" applyAlignment="1" quotePrefix="1">
      <alignment horizontal="left" vertical="center"/>
      <protection/>
    </xf>
    <xf numFmtId="0" fontId="41" fillId="0" borderId="17" xfId="121" applyFont="1" applyBorder="1" applyAlignment="1">
      <alignment vertical="center"/>
      <protection/>
    </xf>
    <xf numFmtId="0" fontId="41" fillId="0" borderId="17" xfId="121" applyFont="1" applyBorder="1" applyAlignment="1" quotePrefix="1">
      <alignment horizontal="left" vertical="center"/>
      <protection/>
    </xf>
    <xf numFmtId="38" fontId="37" fillId="0" borderId="16" xfId="84" applyNumberFormat="1" applyFont="1" applyBorder="1" applyAlignment="1">
      <alignment horizontal="center" vertical="center"/>
    </xf>
    <xf numFmtId="0" fontId="37" fillId="0" borderId="17" xfId="121" applyFont="1" applyBorder="1" applyAlignment="1">
      <alignment horizontal="left" vertical="center"/>
      <protection/>
    </xf>
    <xf numFmtId="0" fontId="38" fillId="0" borderId="17" xfId="120" applyFont="1" applyBorder="1" applyAlignment="1">
      <alignment horizontal="left" indent="1"/>
      <protection/>
    </xf>
    <xf numFmtId="0" fontId="38" fillId="0" borderId="17" xfId="121" applyFont="1" applyBorder="1" applyAlignment="1">
      <alignment vertical="center"/>
      <protection/>
    </xf>
    <xf numFmtId="38" fontId="37" fillId="0" borderId="17" xfId="84" applyNumberFormat="1" applyFont="1" applyBorder="1" applyAlignment="1" quotePrefix="1">
      <alignment horizontal="center" vertical="center"/>
    </xf>
    <xf numFmtId="38" fontId="37" fillId="0" borderId="16" xfId="84" applyNumberFormat="1" applyFont="1" applyBorder="1" applyAlignment="1">
      <alignment horizontal="left" vertical="center"/>
    </xf>
    <xf numFmtId="38" fontId="37" fillId="0" borderId="17" xfId="84" applyNumberFormat="1" applyFont="1" applyBorder="1" applyAlignment="1">
      <alignment horizontal="right" vertical="center"/>
    </xf>
    <xf numFmtId="0" fontId="37" fillId="0" borderId="17" xfId="121" applyFont="1" applyFill="1" applyBorder="1" applyAlignment="1">
      <alignment horizontal="center" vertical="center"/>
      <protection/>
    </xf>
    <xf numFmtId="38" fontId="37" fillId="0" borderId="17" xfId="121" applyNumberFormat="1" applyFont="1" applyBorder="1" applyAlignment="1" quotePrefix="1">
      <alignment horizontal="center" vertical="center"/>
      <protection/>
    </xf>
    <xf numFmtId="0" fontId="37" fillId="0" borderId="17" xfId="121" applyFont="1" applyBorder="1" applyAlignment="1">
      <alignment horizontal="center" vertical="center"/>
      <protection/>
    </xf>
    <xf numFmtId="0" fontId="38" fillId="0" borderId="41" xfId="119" applyFont="1" applyBorder="1" applyAlignment="1">
      <alignment horizontal="center"/>
      <protection/>
    </xf>
    <xf numFmtId="0" fontId="37" fillId="0" borderId="48" xfId="121" applyFont="1" applyBorder="1" applyAlignment="1">
      <alignment horizontal="left" vertical="center"/>
      <protection/>
    </xf>
    <xf numFmtId="0" fontId="37" fillId="0" borderId="29" xfId="121" applyFont="1" applyBorder="1" applyAlignment="1">
      <alignment vertical="center"/>
      <protection/>
    </xf>
    <xf numFmtId="0" fontId="37" fillId="0" borderId="29" xfId="121" applyFont="1" applyBorder="1" applyAlignment="1" quotePrefix="1">
      <alignment horizontal="left" vertical="center"/>
      <protection/>
    </xf>
    <xf numFmtId="49" fontId="37" fillId="0" borderId="29" xfId="121" applyNumberFormat="1" applyFont="1" applyBorder="1" applyAlignment="1">
      <alignment horizontal="left" vertical="center"/>
      <protection/>
    </xf>
    <xf numFmtId="0" fontId="37" fillId="0" borderId="29" xfId="120" applyFont="1" applyBorder="1" applyAlignment="1">
      <alignment/>
      <protection/>
    </xf>
    <xf numFmtId="38" fontId="37" fillId="0" borderId="29" xfId="83" applyNumberFormat="1" applyFont="1" applyBorder="1" applyAlignment="1">
      <alignment horizontal="left"/>
    </xf>
    <xf numFmtId="38" fontId="54" fillId="0" borderId="29" xfId="83" applyNumberFormat="1" applyFont="1" applyBorder="1" applyAlignment="1">
      <alignment horizontal="left"/>
    </xf>
    <xf numFmtId="49" fontId="37" fillId="0" borderId="30" xfId="120" applyNumberFormat="1" applyFont="1" applyBorder="1" applyAlignment="1">
      <alignment horizontal="left"/>
      <protection/>
    </xf>
    <xf numFmtId="49" fontId="37" fillId="0" borderId="0" xfId="120" applyNumberFormat="1" applyFont="1" applyBorder="1" applyAlignment="1" quotePrefix="1">
      <alignment horizontal="left"/>
      <protection/>
    </xf>
    <xf numFmtId="0" fontId="37" fillId="0" borderId="40" xfId="121" applyFont="1" applyFill="1" applyBorder="1" applyAlignment="1" quotePrefix="1">
      <alignment horizontal="left" vertical="center"/>
      <protection/>
    </xf>
    <xf numFmtId="0" fontId="37" fillId="0" borderId="40" xfId="121" applyFont="1" applyFill="1" applyBorder="1" applyAlignment="1">
      <alignment vertical="center"/>
      <protection/>
    </xf>
    <xf numFmtId="0" fontId="37" fillId="0" borderId="0" xfId="121" applyFont="1" applyAlignment="1">
      <alignment horizontal="left" vertical="center"/>
      <protection/>
    </xf>
    <xf numFmtId="0" fontId="37" fillId="0" borderId="0" xfId="121" applyFont="1" applyAlignment="1">
      <alignment horizontal="center" vertical="center"/>
      <protection/>
    </xf>
    <xf numFmtId="0" fontId="37" fillId="0" borderId="0" xfId="121" applyFont="1" applyAlignment="1" quotePrefix="1">
      <alignment horizontal="left" vertical="center"/>
      <protection/>
    </xf>
    <xf numFmtId="0" fontId="37" fillId="0" borderId="0" xfId="121" applyFont="1" applyFill="1" applyBorder="1" applyAlignment="1" quotePrefix="1">
      <alignment horizontal="left" vertical="center"/>
      <protection/>
    </xf>
    <xf numFmtId="38" fontId="37" fillId="0" borderId="36" xfId="84" applyNumberFormat="1" applyFont="1" applyBorder="1" applyAlignment="1">
      <alignment horizontal="center" vertical="center"/>
    </xf>
    <xf numFmtId="0" fontId="37" fillId="0" borderId="29" xfId="121" applyFont="1" applyFill="1" applyBorder="1" applyAlignment="1" quotePrefix="1">
      <alignment horizontal="left" vertical="center"/>
      <protection/>
    </xf>
    <xf numFmtId="9" fontId="38" fillId="0" borderId="29" xfId="121" applyNumberFormat="1" applyFont="1" applyFill="1" applyBorder="1" applyAlignment="1">
      <alignment horizontal="center" vertical="center"/>
      <protection/>
    </xf>
    <xf numFmtId="9" fontId="38" fillId="0" borderId="29" xfId="121" applyNumberFormat="1" applyFont="1" applyBorder="1" applyAlignment="1">
      <alignment horizontal="left" vertical="center"/>
      <protection/>
    </xf>
    <xf numFmtId="38" fontId="37" fillId="0" borderId="30" xfId="84" applyNumberFormat="1" applyFont="1" applyBorder="1" applyAlignment="1">
      <alignment horizontal="center" vertical="center"/>
    </xf>
    <xf numFmtId="38" fontId="37" fillId="0" borderId="0" xfId="84" applyNumberFormat="1" applyFont="1" applyBorder="1" applyAlignment="1">
      <alignment horizontal="left" vertical="center"/>
    </xf>
    <xf numFmtId="0" fontId="37" fillId="0" borderId="0" xfId="121" applyFont="1" applyBorder="1" applyAlignment="1" quotePrefix="1">
      <alignment horizontal="left" vertical="center"/>
      <protection/>
    </xf>
    <xf numFmtId="0" fontId="37" fillId="0" borderId="0" xfId="121" applyFont="1" applyBorder="1" applyAlignment="1">
      <alignment vertical="center"/>
      <protection/>
    </xf>
    <xf numFmtId="0" fontId="41" fillId="0" borderId="29" xfId="121" applyFont="1" applyBorder="1" applyAlignment="1">
      <alignment vertical="center"/>
      <protection/>
    </xf>
    <xf numFmtId="0" fontId="41" fillId="0" borderId="0" xfId="121" applyFont="1" applyBorder="1" applyAlignment="1" quotePrefix="1">
      <alignment horizontal="left" vertical="center"/>
      <protection/>
    </xf>
    <xf numFmtId="0" fontId="38" fillId="0" borderId="31" xfId="121" applyFont="1" applyBorder="1" applyAlignment="1">
      <alignment horizontal="center" vertical="center"/>
      <protection/>
    </xf>
    <xf numFmtId="0" fontId="38" fillId="0" borderId="40" xfId="121" applyFont="1" applyBorder="1" applyAlignment="1">
      <alignment horizontal="centerContinuous" vertical="center"/>
      <protection/>
    </xf>
    <xf numFmtId="0" fontId="37" fillId="0" borderId="40" xfId="121" applyFont="1" applyBorder="1" applyAlignment="1">
      <alignment horizontal="centerContinuous" vertical="center"/>
      <protection/>
    </xf>
    <xf numFmtId="0" fontId="37" fillId="0" borderId="33" xfId="121" applyFont="1" applyBorder="1" applyAlignment="1">
      <alignment horizontal="left" vertical="center"/>
      <protection/>
    </xf>
    <xf numFmtId="0" fontId="37" fillId="0" borderId="29" xfId="121" applyFont="1" applyBorder="1" applyAlignment="1">
      <alignment horizontal="left" vertical="center"/>
      <protection/>
    </xf>
    <xf numFmtId="0" fontId="38" fillId="0" borderId="8" xfId="121" applyFont="1" applyBorder="1" applyAlignment="1">
      <alignment horizontal="center" vertical="center"/>
      <protection/>
    </xf>
    <xf numFmtId="0" fontId="38" fillId="0" borderId="48" xfId="121" applyFont="1" applyBorder="1" applyAlignment="1">
      <alignment horizontal="center" vertical="center"/>
      <protection/>
    </xf>
    <xf numFmtId="0" fontId="37" fillId="0" borderId="30" xfId="121" applyFont="1" applyBorder="1" applyAlignment="1">
      <alignment horizontal="center" vertical="center"/>
      <protection/>
    </xf>
    <xf numFmtId="0" fontId="38" fillId="0" borderId="34" xfId="121" applyFont="1" applyBorder="1" applyAlignment="1">
      <alignment horizontal="center" vertical="center"/>
      <protection/>
    </xf>
    <xf numFmtId="0" fontId="37" fillId="0" borderId="42" xfId="121" applyFont="1" applyBorder="1" applyAlignment="1">
      <alignment vertical="center"/>
      <protection/>
    </xf>
    <xf numFmtId="0" fontId="37" fillId="0" borderId="18" xfId="121" applyFont="1" applyBorder="1" applyAlignment="1">
      <alignment vertical="center"/>
      <protection/>
    </xf>
    <xf numFmtId="2" fontId="37" fillId="0" borderId="18" xfId="121" applyNumberFormat="1" applyFont="1" applyFill="1" applyBorder="1" applyAlignment="1">
      <alignment vertical="center"/>
      <protection/>
    </xf>
    <xf numFmtId="3" fontId="37" fillId="0" borderId="31" xfId="121" applyNumberFormat="1" applyFont="1" applyFill="1" applyBorder="1" applyAlignment="1">
      <alignment vertical="center"/>
      <protection/>
    </xf>
    <xf numFmtId="3" fontId="38" fillId="0" borderId="42" xfId="121" applyNumberFormat="1" applyFont="1" applyFill="1" applyBorder="1" applyAlignment="1">
      <alignment vertical="center"/>
      <protection/>
    </xf>
    <xf numFmtId="3" fontId="37" fillId="0" borderId="13" xfId="121" applyNumberFormat="1" applyFont="1" applyFill="1" applyBorder="1" applyAlignment="1">
      <alignment vertical="center"/>
      <protection/>
    </xf>
    <xf numFmtId="0" fontId="37" fillId="0" borderId="39" xfId="121" applyFont="1" applyBorder="1" applyAlignment="1">
      <alignment vertical="center"/>
      <protection/>
    </xf>
    <xf numFmtId="0" fontId="37" fillId="0" borderId="24" xfId="121" applyFont="1" applyBorder="1" applyAlignment="1">
      <alignment vertical="center"/>
      <protection/>
    </xf>
    <xf numFmtId="0" fontId="37" fillId="0" borderId="26" xfId="121" applyFont="1" applyBorder="1" applyAlignment="1">
      <alignment vertical="center"/>
      <protection/>
    </xf>
    <xf numFmtId="198" fontId="38" fillId="0" borderId="26" xfId="84" applyNumberFormat="1" applyFont="1" applyFill="1" applyBorder="1" applyAlignment="1">
      <alignment horizontal="center" vertical="center"/>
    </xf>
    <xf numFmtId="3" fontId="38" fillId="0" borderId="8" xfId="121" applyNumberFormat="1" applyFont="1" applyFill="1" applyBorder="1" applyAlignment="1">
      <alignment vertical="center"/>
      <protection/>
    </xf>
    <xf numFmtId="3" fontId="37" fillId="0" borderId="15" xfId="121" applyNumberFormat="1" applyFont="1" applyFill="1" applyBorder="1" applyAlignment="1">
      <alignment vertical="center"/>
      <protection/>
    </xf>
    <xf numFmtId="3" fontId="37" fillId="0" borderId="43" xfId="121" applyNumberFormat="1" applyFont="1" applyFill="1" applyBorder="1" applyAlignment="1">
      <alignment vertical="center"/>
      <protection/>
    </xf>
    <xf numFmtId="3" fontId="37" fillId="0" borderId="35" xfId="121" applyNumberFormat="1" applyFont="1" applyFill="1" applyBorder="1" applyAlignment="1">
      <alignment vertical="center"/>
      <protection/>
    </xf>
    <xf numFmtId="0" fontId="37" fillId="0" borderId="26" xfId="121" applyFont="1" applyBorder="1" applyAlignment="1" quotePrefix="1">
      <alignment horizontal="left" vertical="center"/>
      <protection/>
    </xf>
    <xf numFmtId="2" fontId="38" fillId="0" borderId="26" xfId="121" applyNumberFormat="1" applyFont="1" applyFill="1" applyBorder="1" applyAlignment="1" quotePrefix="1">
      <alignment horizontal="center" vertical="center"/>
      <protection/>
    </xf>
    <xf numFmtId="0" fontId="37" fillId="0" borderId="46" xfId="121" applyFont="1" applyBorder="1" applyAlignment="1">
      <alignment vertical="center"/>
      <protection/>
    </xf>
    <xf numFmtId="2" fontId="37" fillId="0" borderId="26" xfId="121" applyNumberFormat="1" applyFont="1" applyFill="1" applyBorder="1" applyAlignment="1">
      <alignment vertical="center"/>
      <protection/>
    </xf>
    <xf numFmtId="0" fontId="37" fillId="0" borderId="45" xfId="121" applyFont="1" applyBorder="1" applyAlignment="1">
      <alignment vertical="center"/>
      <protection/>
    </xf>
    <xf numFmtId="2" fontId="37" fillId="0" borderId="17" xfId="121" applyNumberFormat="1" applyFont="1" applyFill="1" applyBorder="1" applyAlignment="1">
      <alignment vertical="center"/>
      <protection/>
    </xf>
    <xf numFmtId="2" fontId="37" fillId="0" borderId="17" xfId="121" applyNumberFormat="1" applyFont="1" applyFill="1" applyBorder="1" applyAlignment="1" quotePrefix="1">
      <alignment vertical="center"/>
      <protection/>
    </xf>
    <xf numFmtId="3" fontId="37" fillId="0" borderId="24" xfId="121" applyNumberFormat="1" applyFont="1" applyFill="1" applyBorder="1" applyAlignment="1">
      <alignment vertical="center"/>
      <protection/>
    </xf>
    <xf numFmtId="38" fontId="38" fillId="0" borderId="31" xfId="84" applyNumberFormat="1" applyFont="1" applyFill="1" applyBorder="1" applyAlignment="1">
      <alignment vertical="center"/>
    </xf>
    <xf numFmtId="38" fontId="38" fillId="0" borderId="49" xfId="84" applyNumberFormat="1" applyFont="1" applyFill="1" applyBorder="1" applyAlignment="1">
      <alignment vertical="center"/>
    </xf>
    <xf numFmtId="3" fontId="38" fillId="0" borderId="4" xfId="121" applyNumberFormat="1" applyFont="1" applyFill="1" applyBorder="1" applyAlignment="1">
      <alignment vertical="center"/>
      <protection/>
    </xf>
    <xf numFmtId="3" fontId="37" fillId="0" borderId="50" xfId="121" applyNumberFormat="1" applyFont="1" applyFill="1" applyBorder="1" applyAlignment="1">
      <alignment vertical="center"/>
      <protection/>
    </xf>
    <xf numFmtId="38" fontId="39" fillId="0" borderId="51" xfId="84" applyNumberFormat="1" applyFont="1" applyFill="1" applyBorder="1" applyAlignment="1">
      <alignment vertical="center"/>
    </xf>
    <xf numFmtId="38" fontId="39" fillId="0" borderId="52" xfId="84" applyNumberFormat="1" applyFont="1" applyFill="1" applyBorder="1" applyAlignment="1">
      <alignment vertical="center"/>
    </xf>
    <xf numFmtId="3" fontId="38" fillId="0" borderId="53" xfId="121" applyNumberFormat="1" applyFont="1" applyFill="1" applyBorder="1" applyAlignment="1">
      <alignment vertical="center"/>
      <protection/>
    </xf>
    <xf numFmtId="0" fontId="38" fillId="0" borderId="46" xfId="121" applyFont="1" applyBorder="1" applyAlignment="1" quotePrefix="1">
      <alignment horizontal="left" vertical="center"/>
      <protection/>
    </xf>
    <xf numFmtId="38" fontId="38" fillId="0" borderId="29" xfId="84" applyNumberFormat="1" applyFont="1" applyFill="1" applyBorder="1" applyAlignment="1">
      <alignment horizontal="center" vertical="center"/>
    </xf>
    <xf numFmtId="188" fontId="37" fillId="0" borderId="29" xfId="121" applyNumberFormat="1" applyFont="1" applyFill="1" applyBorder="1" applyAlignment="1">
      <alignment vertical="center"/>
      <protection/>
    </xf>
    <xf numFmtId="188" fontId="37" fillId="0" borderId="46" xfId="121" applyNumberFormat="1" applyFont="1" applyFill="1" applyBorder="1" applyAlignment="1">
      <alignment horizontal="center" vertical="center"/>
      <protection/>
    </xf>
    <xf numFmtId="3" fontId="37" fillId="0" borderId="33" xfId="121" applyNumberFormat="1" applyFont="1" applyFill="1" applyBorder="1" applyAlignment="1">
      <alignment vertical="center"/>
      <protection/>
    </xf>
    <xf numFmtId="3" fontId="38" fillId="0" borderId="54" xfId="121" applyNumberFormat="1" applyFont="1" applyFill="1" applyBorder="1" applyAlignment="1">
      <alignment vertical="center"/>
      <protection/>
    </xf>
    <xf numFmtId="3" fontId="37" fillId="0" borderId="46" xfId="121" applyNumberFormat="1" applyFont="1" applyFill="1" applyBorder="1" applyAlignment="1">
      <alignment vertical="center"/>
      <protection/>
    </xf>
    <xf numFmtId="38" fontId="38" fillId="0" borderId="0" xfId="121" applyNumberFormat="1" applyFont="1" applyAlignment="1">
      <alignment vertical="center"/>
      <protection/>
    </xf>
    <xf numFmtId="38" fontId="37" fillId="0" borderId="18" xfId="84" applyNumberFormat="1" applyFont="1" applyFill="1" applyBorder="1" applyAlignment="1" quotePrefix="1">
      <alignment horizontal="center" vertical="center"/>
    </xf>
    <xf numFmtId="38" fontId="37" fillId="0" borderId="37" xfId="153" applyNumberFormat="1" applyFont="1" applyFill="1" applyBorder="1" applyAlignment="1">
      <alignment/>
    </xf>
    <xf numFmtId="3" fontId="37" fillId="0" borderId="15" xfId="0" applyNumberFormat="1" applyFont="1" applyFill="1" applyBorder="1" applyAlignment="1">
      <alignment vertical="center"/>
    </xf>
    <xf numFmtId="3" fontId="37" fillId="0" borderId="37" xfId="0" applyNumberFormat="1" applyFont="1" applyBorder="1" applyAlignment="1">
      <alignment horizontal="center" vertical="center"/>
    </xf>
    <xf numFmtId="3" fontId="37" fillId="0" borderId="37" xfId="0" applyNumberFormat="1" applyFont="1" applyBorder="1" applyAlignment="1">
      <alignment vertical="center"/>
    </xf>
    <xf numFmtId="3" fontId="37" fillId="0" borderId="37" xfId="0" applyNumberFormat="1" applyFont="1" applyBorder="1" applyAlignment="1">
      <alignment horizontal="right" vertical="center"/>
    </xf>
    <xf numFmtId="3" fontId="37" fillId="0" borderId="37" xfId="0" applyNumberFormat="1" applyFont="1" applyFill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3" fontId="37" fillId="0" borderId="37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/>
    </xf>
    <xf numFmtId="0" fontId="37" fillId="0" borderId="39" xfId="0" applyFont="1" applyFill="1" applyBorder="1" applyAlignment="1">
      <alignment horizontal="center"/>
    </xf>
    <xf numFmtId="0" fontId="37" fillId="20" borderId="0" xfId="0" applyFont="1" applyFill="1" applyAlignment="1">
      <alignment/>
    </xf>
    <xf numFmtId="0" fontId="37" fillId="0" borderId="55" xfId="182" applyFont="1" applyFill="1" applyBorder="1" applyAlignment="1" quotePrefix="1">
      <alignment vertical="center"/>
      <protection/>
    </xf>
    <xf numFmtId="0" fontId="37" fillId="0" borderId="56" xfId="182" applyFont="1" applyFill="1" applyBorder="1" applyAlignment="1" quotePrefix="1">
      <alignment vertical="center"/>
      <protection/>
    </xf>
    <xf numFmtId="191" fontId="38" fillId="0" borderId="26" xfId="121" applyNumberFormat="1" applyFont="1" applyFill="1" applyBorder="1" applyAlignment="1">
      <alignment horizontal="center" vertical="center"/>
      <protection/>
    </xf>
    <xf numFmtId="0" fontId="41" fillId="0" borderId="0" xfId="124" applyFont="1" applyAlignment="1">
      <alignment vertical="center"/>
      <protection/>
    </xf>
    <xf numFmtId="0" fontId="38" fillId="0" borderId="0" xfId="123" applyFont="1" applyAlignment="1" quotePrefix="1">
      <alignment horizontal="left" vertical="center"/>
      <protection/>
    </xf>
    <xf numFmtId="0" fontId="37" fillId="0" borderId="0" xfId="123" applyFont="1" applyAlignment="1">
      <alignment vertical="center"/>
      <protection/>
    </xf>
    <xf numFmtId="0" fontId="38" fillId="0" borderId="0" xfId="123" applyFont="1" applyAlignment="1">
      <alignment horizontal="left" vertical="center"/>
      <protection/>
    </xf>
    <xf numFmtId="0" fontId="41" fillId="0" borderId="0" xfId="123" applyFont="1" applyFill="1" applyAlignment="1">
      <alignment vertical="center"/>
      <protection/>
    </xf>
    <xf numFmtId="2" fontId="2" fillId="0" borderId="0" xfId="123" applyNumberFormat="1" applyFont="1" applyFill="1" applyBorder="1" applyAlignment="1">
      <alignment vertical="center"/>
      <protection/>
    </xf>
    <xf numFmtId="0" fontId="59" fillId="0" borderId="0" xfId="124" applyFont="1" applyAlignment="1">
      <alignment vertical="center"/>
      <protection/>
    </xf>
    <xf numFmtId="38" fontId="36" fillId="0" borderId="0" xfId="153" applyNumberFormat="1" applyFont="1" applyAlignment="1">
      <alignment vertical="center"/>
    </xf>
    <xf numFmtId="0" fontId="59" fillId="0" borderId="0" xfId="125" applyFont="1" applyAlignment="1">
      <alignment vertical="center"/>
      <protection/>
    </xf>
    <xf numFmtId="0" fontId="41" fillId="0" borderId="0" xfId="123" applyFont="1" applyAlignment="1">
      <alignment vertical="center"/>
      <protection/>
    </xf>
    <xf numFmtId="0" fontId="37" fillId="0" borderId="57" xfId="123" applyFont="1" applyFill="1" applyBorder="1" applyAlignment="1" quotePrefix="1">
      <alignment horizontal="left" vertical="center"/>
      <protection/>
    </xf>
    <xf numFmtId="0" fontId="38" fillId="0" borderId="40" xfId="126" applyFont="1" applyFill="1" applyBorder="1" applyAlignment="1">
      <alignment horizontal="left" vertical="center"/>
      <protection/>
    </xf>
    <xf numFmtId="0" fontId="45" fillId="0" borderId="40" xfId="126" applyFont="1" applyBorder="1" applyAlignment="1">
      <alignment vertical="center"/>
      <protection/>
    </xf>
    <xf numFmtId="0" fontId="37" fillId="0" borderId="40" xfId="126" applyFont="1" applyFill="1" applyBorder="1" applyAlignment="1">
      <alignment horizontal="left" vertical="center"/>
      <protection/>
    </xf>
    <xf numFmtId="0" fontId="41" fillId="0" borderId="40" xfId="126" applyFont="1" applyBorder="1" applyAlignment="1">
      <alignment vertical="center"/>
      <protection/>
    </xf>
    <xf numFmtId="0" fontId="37" fillId="0" borderId="40" xfId="126" applyFont="1" applyFill="1" applyBorder="1" applyAlignment="1" quotePrefix="1">
      <alignment horizontal="left" vertical="center"/>
      <protection/>
    </xf>
    <xf numFmtId="0" fontId="41" fillId="0" borderId="32" xfId="126" applyFont="1" applyFill="1" applyBorder="1" applyAlignment="1">
      <alignment vertical="center"/>
      <protection/>
    </xf>
    <xf numFmtId="0" fontId="41" fillId="0" borderId="47" xfId="126" applyFont="1" applyFill="1" applyBorder="1" applyAlignment="1">
      <alignment vertical="center"/>
      <protection/>
    </xf>
    <xf numFmtId="0" fontId="37" fillId="0" borderId="47" xfId="123" applyFont="1" applyFill="1" applyBorder="1" applyAlignment="1" quotePrefix="1">
      <alignment horizontal="left" vertical="center"/>
      <protection/>
    </xf>
    <xf numFmtId="0" fontId="41" fillId="0" borderId="0" xfId="126" applyFont="1" applyBorder="1" applyAlignment="1">
      <alignment vertical="center"/>
      <protection/>
    </xf>
    <xf numFmtId="0" fontId="45" fillId="0" borderId="0" xfId="126" applyFont="1" applyBorder="1" applyAlignment="1">
      <alignment vertical="center"/>
      <protection/>
    </xf>
    <xf numFmtId="0" fontId="37" fillId="0" borderId="0" xfId="126" applyFont="1" applyFill="1" applyBorder="1" applyAlignment="1">
      <alignment horizontal="left" vertical="center"/>
      <protection/>
    </xf>
    <xf numFmtId="0" fontId="37" fillId="0" borderId="0" xfId="126" applyFont="1" applyFill="1" applyBorder="1" applyAlignment="1" quotePrefix="1">
      <alignment horizontal="left" vertical="center"/>
      <protection/>
    </xf>
    <xf numFmtId="0" fontId="41" fillId="0" borderId="36" xfId="126" applyFont="1" applyFill="1" applyBorder="1" applyAlignment="1">
      <alignment vertical="center"/>
      <protection/>
    </xf>
    <xf numFmtId="0" fontId="41" fillId="0" borderId="48" xfId="126" applyFont="1" applyBorder="1" applyAlignment="1">
      <alignment vertical="center"/>
      <protection/>
    </xf>
    <xf numFmtId="0" fontId="38" fillId="0" borderId="29" xfId="126" applyFont="1" applyFill="1" applyBorder="1" applyAlignment="1">
      <alignment horizontal="left" vertical="center"/>
      <protection/>
    </xf>
    <xf numFmtId="0" fontId="45" fillId="0" borderId="29" xfId="126" applyFont="1" applyBorder="1" applyAlignment="1">
      <alignment vertical="center"/>
      <protection/>
    </xf>
    <xf numFmtId="0" fontId="37" fillId="0" borderId="29" xfId="126" applyFont="1" applyBorder="1" applyAlignment="1">
      <alignment vertical="center"/>
      <protection/>
    </xf>
    <xf numFmtId="0" fontId="37" fillId="0" borderId="29" xfId="126" applyFont="1" applyFill="1" applyBorder="1" applyAlignment="1">
      <alignment vertical="center"/>
      <protection/>
    </xf>
    <xf numFmtId="0" fontId="41" fillId="0" borderId="30" xfId="126" applyFont="1" applyBorder="1" applyAlignment="1">
      <alignment vertical="center"/>
      <protection/>
    </xf>
    <xf numFmtId="0" fontId="41" fillId="0" borderId="47" xfId="126" applyFont="1" applyBorder="1" applyAlignment="1">
      <alignment vertical="center"/>
      <protection/>
    </xf>
    <xf numFmtId="0" fontId="38" fillId="0" borderId="0" xfId="121" applyFont="1" applyFill="1" applyAlignment="1">
      <alignment horizontal="center" vertical="center"/>
      <protection/>
    </xf>
    <xf numFmtId="43" fontId="60" fillId="0" borderId="0" xfId="156" applyNumberFormat="1" applyFont="1" applyAlignment="1">
      <alignment/>
    </xf>
    <xf numFmtId="0" fontId="30" fillId="0" borderId="0" xfId="170">
      <alignment/>
      <protection/>
    </xf>
    <xf numFmtId="0" fontId="30" fillId="0" borderId="47" xfId="171" applyFont="1" applyBorder="1">
      <alignment/>
      <protection/>
    </xf>
    <xf numFmtId="9" fontId="61" fillId="0" borderId="36" xfId="171" applyNumberFormat="1" applyFont="1" applyBorder="1" applyAlignment="1">
      <alignment horizontal="center"/>
      <protection/>
    </xf>
    <xf numFmtId="43" fontId="61" fillId="0" borderId="58" xfId="156" applyNumberFormat="1" applyFont="1" applyBorder="1" applyAlignment="1">
      <alignment/>
    </xf>
    <xf numFmtId="43" fontId="60" fillId="0" borderId="59" xfId="156" applyNumberFormat="1" applyFont="1" applyBorder="1" applyAlignment="1">
      <alignment/>
    </xf>
    <xf numFmtId="43" fontId="60" fillId="0" borderId="36" xfId="156" applyNumberFormat="1" applyFont="1" applyBorder="1" applyAlignment="1">
      <alignment/>
    </xf>
    <xf numFmtId="9" fontId="63" fillId="17" borderId="36" xfId="171" applyNumberFormat="1" applyFont="1" applyFill="1" applyBorder="1" applyAlignment="1">
      <alignment horizontal="center"/>
      <protection/>
    </xf>
    <xf numFmtId="43" fontId="60" fillId="0" borderId="0" xfId="156" applyNumberFormat="1" applyFont="1" applyAlignment="1">
      <alignment horizontal="center" vertical="center"/>
    </xf>
    <xf numFmtId="43" fontId="65" fillId="0" borderId="60" xfId="156" applyNumberFormat="1" applyFont="1" applyBorder="1" applyAlignment="1">
      <alignment/>
    </xf>
    <xf numFmtId="0" fontId="30" fillId="0" borderId="61" xfId="171" applyFont="1" applyBorder="1">
      <alignment/>
      <protection/>
    </xf>
    <xf numFmtId="0" fontId="61" fillId="17" borderId="62" xfId="171" applyFont="1" applyFill="1" applyBorder="1" applyAlignment="1">
      <alignment horizontal="center"/>
      <protection/>
    </xf>
    <xf numFmtId="0" fontId="61" fillId="17" borderId="63" xfId="171" applyFont="1" applyFill="1" applyBorder="1" applyAlignment="1">
      <alignment horizontal="center"/>
      <protection/>
    </xf>
    <xf numFmtId="43" fontId="64" fillId="0" borderId="0" xfId="156" applyNumberFormat="1" applyFont="1" applyAlignment="1">
      <alignment horizontal="right"/>
    </xf>
    <xf numFmtId="43" fontId="66" fillId="17" borderId="31" xfId="156" applyNumberFormat="1" applyFont="1" applyFill="1" applyBorder="1" applyAlignment="1">
      <alignment/>
    </xf>
    <xf numFmtId="43" fontId="64" fillId="0" borderId="0" xfId="156" applyNumberFormat="1" applyFont="1" applyAlignment="1">
      <alignment/>
    </xf>
    <xf numFmtId="0" fontId="61" fillId="17" borderId="64" xfId="171" applyFont="1" applyFill="1" applyBorder="1" applyAlignment="1">
      <alignment horizontal="center"/>
      <protection/>
    </xf>
    <xf numFmtId="0" fontId="30" fillId="17" borderId="61" xfId="171" applyFont="1" applyFill="1" applyBorder="1">
      <alignment/>
      <protection/>
    </xf>
    <xf numFmtId="43" fontId="60" fillId="0" borderId="0" xfId="156" applyNumberFormat="1" applyFont="1" applyAlignment="1">
      <alignment horizontal="right"/>
    </xf>
    <xf numFmtId="43" fontId="60" fillId="21" borderId="52" xfId="156" applyNumberFormat="1" applyFont="1" applyFill="1" applyBorder="1" applyAlignment="1">
      <alignment/>
    </xf>
    <xf numFmtId="205" fontId="30" fillId="0" borderId="8" xfId="156" applyNumberFormat="1" applyFont="1" applyBorder="1" applyAlignment="1">
      <alignment/>
    </xf>
    <xf numFmtId="191" fontId="30" fillId="0" borderId="54" xfId="171" applyNumberFormat="1" applyFont="1" applyBorder="1" applyAlignment="1">
      <alignment horizontal="center"/>
      <protection/>
    </xf>
    <xf numFmtId="43" fontId="67" fillId="0" borderId="0" xfId="156" applyNumberFormat="1" applyFont="1" applyAlignment="1">
      <alignment horizontal="right"/>
    </xf>
    <xf numFmtId="43" fontId="66" fillId="17" borderId="33" xfId="156" applyNumberFormat="1" applyFont="1" applyFill="1" applyBorder="1" applyAlignment="1">
      <alignment/>
    </xf>
    <xf numFmtId="43" fontId="67" fillId="0" borderId="0" xfId="156" applyNumberFormat="1" applyFont="1" applyFill="1" applyAlignment="1">
      <alignment/>
    </xf>
    <xf numFmtId="191" fontId="30" fillId="0" borderId="30" xfId="171" applyNumberFormat="1" applyFont="1" applyBorder="1" applyAlignment="1">
      <alignment horizontal="center"/>
      <protection/>
    </xf>
    <xf numFmtId="191" fontId="30" fillId="0" borderId="50" xfId="171" applyNumberFormat="1" applyFont="1" applyBorder="1" applyAlignment="1">
      <alignment horizontal="center"/>
      <protection/>
    </xf>
    <xf numFmtId="43" fontId="68" fillId="0" borderId="0" xfId="156" applyNumberFormat="1" applyFont="1" applyAlignment="1">
      <alignment horizontal="right"/>
    </xf>
    <xf numFmtId="206" fontId="69" fillId="17" borderId="8" xfId="156" applyNumberFormat="1" applyFont="1" applyFill="1" applyBorder="1" applyAlignment="1">
      <alignment/>
    </xf>
    <xf numFmtId="206" fontId="70" fillId="8" borderId="52" xfId="156" applyNumberFormat="1" applyFont="1" applyFill="1" applyBorder="1" applyAlignment="1">
      <alignment/>
    </xf>
    <xf numFmtId="207" fontId="62" fillId="0" borderId="0" xfId="156" applyNumberFormat="1" applyFont="1" applyAlignment="1">
      <alignment/>
    </xf>
    <xf numFmtId="43" fontId="68" fillId="0" borderId="33" xfId="156" applyNumberFormat="1" applyFont="1" applyBorder="1" applyAlignment="1">
      <alignment/>
    </xf>
    <xf numFmtId="43" fontId="60" fillId="0" borderId="65" xfId="156" applyNumberFormat="1" applyFont="1" applyBorder="1" applyAlignment="1">
      <alignment/>
    </xf>
    <xf numFmtId="43" fontId="60" fillId="0" borderId="66" xfId="156" applyNumberFormat="1" applyFont="1" applyBorder="1" applyAlignment="1">
      <alignment/>
    </xf>
    <xf numFmtId="43" fontId="71" fillId="0" borderId="0" xfId="156" applyNumberFormat="1" applyFont="1" applyAlignment="1">
      <alignment horizontal="right"/>
    </xf>
    <xf numFmtId="205" fontId="64" fillId="0" borderId="0" xfId="156" applyNumberFormat="1" applyFont="1" applyBorder="1" applyAlignment="1">
      <alignment/>
    </xf>
    <xf numFmtId="205" fontId="30" fillId="0" borderId="8" xfId="156" applyNumberFormat="1" applyFont="1" applyBorder="1" applyAlignment="1">
      <alignment horizontal="right"/>
    </xf>
    <xf numFmtId="0" fontId="37" fillId="0" borderId="47" xfId="181" applyFont="1" applyBorder="1" applyAlignment="1" quotePrefix="1">
      <alignment horizontal="left" vertical="center"/>
      <protection/>
    </xf>
    <xf numFmtId="0" fontId="37" fillId="0" borderId="48" xfId="117" applyFont="1" applyBorder="1" applyAlignment="1" quotePrefix="1">
      <alignment horizontal="left" vertical="center"/>
      <protection/>
    </xf>
    <xf numFmtId="0" fontId="37" fillId="0" borderId="45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45" xfId="0" applyFont="1" applyFill="1" applyBorder="1" applyAlignment="1">
      <alignment horizontal="center"/>
    </xf>
    <xf numFmtId="38" fontId="37" fillId="0" borderId="45" xfId="153" applyNumberFormat="1" applyFont="1" applyFill="1" applyBorder="1" applyAlignment="1">
      <alignment/>
    </xf>
    <xf numFmtId="38" fontId="37" fillId="0" borderId="34" xfId="153" applyNumberFormat="1" applyFont="1" applyFill="1" applyBorder="1" applyAlignment="1">
      <alignment/>
    </xf>
    <xf numFmtId="4" fontId="37" fillId="0" borderId="37" xfId="0" applyNumberFormat="1" applyFont="1" applyBorder="1" applyAlignment="1">
      <alignment horizontal="right" vertical="center"/>
    </xf>
    <xf numFmtId="0" fontId="38" fillId="0" borderId="0" xfId="121" applyFont="1" applyBorder="1" applyAlignment="1">
      <alignment horizontal="left" vertical="center"/>
      <protection/>
    </xf>
    <xf numFmtId="0" fontId="41" fillId="0" borderId="0" xfId="128" applyFont="1" applyBorder="1" applyAlignment="1">
      <alignment vertical="center"/>
      <protection/>
    </xf>
    <xf numFmtId="0" fontId="41" fillId="0" borderId="8" xfId="121" applyFont="1" applyBorder="1" applyAlignment="1">
      <alignment horizontal="center" vertical="center"/>
      <protection/>
    </xf>
    <xf numFmtId="40" fontId="41" fillId="0" borderId="8" xfId="153" applyFont="1" applyBorder="1" applyAlignment="1">
      <alignment horizontal="center" vertical="center"/>
    </xf>
    <xf numFmtId="40" fontId="41" fillId="0" borderId="0" xfId="153" applyFont="1" applyAlignment="1">
      <alignment vertical="center"/>
    </xf>
    <xf numFmtId="215" fontId="41" fillId="0" borderId="0" xfId="121" applyNumberFormat="1" applyFont="1" applyAlignment="1">
      <alignment vertical="center"/>
      <protection/>
    </xf>
    <xf numFmtId="0" fontId="72" fillId="0" borderId="0" xfId="0" applyFont="1" applyAlignment="1">
      <alignment horizontal="left"/>
    </xf>
    <xf numFmtId="0" fontId="37" fillId="0" borderId="0" xfId="127" applyFont="1" applyBorder="1" applyAlignment="1">
      <alignment horizontal="left" vertical="center"/>
      <protection/>
    </xf>
    <xf numFmtId="38" fontId="37" fillId="0" borderId="0" xfId="84" applyNumberFormat="1" applyFont="1" applyFill="1" applyBorder="1" applyAlignment="1">
      <alignment horizontal="center" vertical="center"/>
    </xf>
    <xf numFmtId="188" fontId="37" fillId="0" borderId="0" xfId="127" applyNumberFormat="1" applyFont="1" applyFill="1" applyBorder="1" applyAlignment="1">
      <alignment vertical="center"/>
      <protection/>
    </xf>
    <xf numFmtId="188" fontId="37" fillId="0" borderId="0" xfId="127" applyNumberFormat="1" applyFont="1" applyFill="1" applyBorder="1" applyAlignment="1">
      <alignment horizontal="center" vertical="center"/>
      <protection/>
    </xf>
    <xf numFmtId="3" fontId="37" fillId="0" borderId="0" xfId="127" applyNumberFormat="1" applyFont="1" applyFill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Alignment="1">
      <alignment vertical="center"/>
    </xf>
    <xf numFmtId="2" fontId="37" fillId="0" borderId="0" xfId="123" applyNumberFormat="1" applyFont="1" applyFill="1" applyBorder="1" applyAlignment="1">
      <alignment vertical="center"/>
      <protection/>
    </xf>
    <xf numFmtId="0" fontId="37" fillId="0" borderId="0" xfId="123" applyFont="1" applyFill="1" applyAlignment="1">
      <alignment vertical="center"/>
      <protection/>
    </xf>
    <xf numFmtId="0" fontId="41" fillId="0" borderId="0" xfId="126" applyFont="1" applyFill="1" applyAlignment="1">
      <alignment vertical="center"/>
      <protection/>
    </xf>
    <xf numFmtId="43" fontId="37" fillId="0" borderId="0" xfId="155" applyNumberFormat="1" applyFont="1" applyAlignment="1">
      <alignment/>
    </xf>
    <xf numFmtId="0" fontId="41" fillId="0" borderId="0" xfId="122" applyFont="1" applyAlignment="1">
      <alignment vertical="center"/>
      <protection/>
    </xf>
    <xf numFmtId="43" fontId="37" fillId="0" borderId="0" xfId="155" applyNumberFormat="1" applyFont="1" applyAlignment="1">
      <alignment/>
    </xf>
    <xf numFmtId="0" fontId="37" fillId="0" borderId="0" xfId="0" applyFont="1" applyAlignment="1">
      <alignment/>
    </xf>
    <xf numFmtId="0" fontId="37" fillId="0" borderId="0" xfId="116" applyFont="1" applyAlignment="1">
      <alignment vertical="center"/>
      <protection/>
    </xf>
    <xf numFmtId="0" fontId="40" fillId="0" borderId="0" xfId="180" applyFont="1" applyAlignment="1">
      <alignment horizontal="left" vertical="center"/>
      <protection/>
    </xf>
    <xf numFmtId="0" fontId="41" fillId="0" borderId="0" xfId="122" applyFont="1" applyFill="1" applyAlignment="1">
      <alignment vertical="center"/>
      <protection/>
    </xf>
    <xf numFmtId="0" fontId="41" fillId="0" borderId="0" xfId="123" applyFont="1" applyFill="1" applyAlignment="1">
      <alignment horizontal="left" vertical="center"/>
      <protection/>
    </xf>
    <xf numFmtId="40" fontId="37" fillId="0" borderId="0" xfId="153" applyFont="1" applyAlignment="1">
      <alignment horizontal="left"/>
    </xf>
    <xf numFmtId="43" fontId="37" fillId="0" borderId="0" xfId="153" applyNumberFormat="1" applyFont="1" applyAlignment="1">
      <alignment/>
    </xf>
    <xf numFmtId="0" fontId="37" fillId="0" borderId="0" xfId="0" applyFont="1" applyAlignment="1" quotePrefix="1">
      <alignment horizontal="left"/>
    </xf>
    <xf numFmtId="40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3" fontId="44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43" fontId="37" fillId="0" borderId="0" xfId="153" applyNumberFormat="1" applyFont="1" applyAlignment="1">
      <alignment horizontal="left"/>
    </xf>
    <xf numFmtId="216" fontId="37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43" fontId="37" fillId="0" borderId="0" xfId="153" applyNumberFormat="1" applyFont="1" applyAlignment="1">
      <alignment horizontal="center"/>
    </xf>
    <xf numFmtId="0" fontId="37" fillId="0" borderId="57" xfId="0" applyFont="1" applyBorder="1" applyAlignment="1">
      <alignment/>
    </xf>
    <xf numFmtId="0" fontId="37" fillId="0" borderId="40" xfId="0" applyFont="1" applyBorder="1" applyAlignment="1">
      <alignment/>
    </xf>
    <xf numFmtId="43" fontId="37" fillId="0" borderId="40" xfId="0" applyNumberFormat="1" applyFont="1" applyBorder="1" applyAlignment="1">
      <alignment/>
    </xf>
    <xf numFmtId="43" fontId="37" fillId="0" borderId="40" xfId="153" applyNumberFormat="1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47" xfId="0" applyFont="1" applyBorder="1" applyAlignment="1">
      <alignment/>
    </xf>
    <xf numFmtId="0" fontId="37" fillId="0" borderId="0" xfId="0" applyFont="1" applyBorder="1" applyAlignment="1">
      <alignment/>
    </xf>
    <xf numFmtId="43" fontId="37" fillId="0" borderId="0" xfId="0" applyNumberFormat="1" applyFont="1" applyBorder="1" applyAlignment="1">
      <alignment/>
    </xf>
    <xf numFmtId="43" fontId="37" fillId="0" borderId="0" xfId="153" applyNumberFormat="1" applyFont="1" applyBorder="1" applyAlignment="1">
      <alignment/>
    </xf>
    <xf numFmtId="0" fontId="37" fillId="0" borderId="36" xfId="0" applyFont="1" applyBorder="1" applyAlignment="1">
      <alignment horizontal="center"/>
    </xf>
    <xf numFmtId="9" fontId="37" fillId="0" borderId="0" xfId="153" applyNumberFormat="1" applyFont="1" applyBorder="1" applyAlignment="1">
      <alignment/>
    </xf>
    <xf numFmtId="0" fontId="37" fillId="0" borderId="48" xfId="0" applyFont="1" applyBorder="1" applyAlignment="1">
      <alignment/>
    </xf>
    <xf numFmtId="0" fontId="37" fillId="0" borderId="29" xfId="0" applyFont="1" applyBorder="1" applyAlignment="1">
      <alignment/>
    </xf>
    <xf numFmtId="0" fontId="41" fillId="0" borderId="29" xfId="0" applyFont="1" applyBorder="1" applyAlignment="1">
      <alignment/>
    </xf>
    <xf numFmtId="9" fontId="37" fillId="0" borderId="29" xfId="153" applyNumberFormat="1" applyFont="1" applyBorder="1" applyAlignment="1">
      <alignment/>
    </xf>
    <xf numFmtId="43" fontId="41" fillId="0" borderId="29" xfId="153" applyNumberFormat="1" applyFont="1" applyBorder="1" applyAlignment="1">
      <alignment horizontal="left"/>
    </xf>
    <xf numFmtId="9" fontId="37" fillId="0" borderId="29" xfId="153" applyNumberFormat="1" applyFont="1" applyBorder="1" applyAlignment="1">
      <alignment horizontal="right"/>
    </xf>
    <xf numFmtId="0" fontId="37" fillId="0" borderId="30" xfId="0" applyFont="1" applyBorder="1" applyAlignment="1">
      <alignment/>
    </xf>
    <xf numFmtId="0" fontId="37" fillId="0" borderId="4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76" fillId="0" borderId="67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3" fontId="37" fillId="0" borderId="31" xfId="153" applyNumberFormat="1" applyFont="1" applyBorder="1" applyAlignment="1">
      <alignment horizontal="center"/>
    </xf>
    <xf numFmtId="43" fontId="37" fillId="0" borderId="40" xfId="153" applyNumberFormat="1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43" fontId="37" fillId="0" borderId="33" xfId="153" applyNumberFormat="1" applyFont="1" applyBorder="1" applyAlignment="1">
      <alignment horizontal="center"/>
    </xf>
    <xf numFmtId="206" fontId="37" fillId="0" borderId="29" xfId="153" applyNumberFormat="1" applyFont="1" applyBorder="1" applyAlignment="1">
      <alignment horizontal="center"/>
    </xf>
    <xf numFmtId="0" fontId="54" fillId="0" borderId="69" xfId="0" applyFont="1" applyBorder="1" applyAlignment="1">
      <alignment/>
    </xf>
    <xf numFmtId="0" fontId="38" fillId="0" borderId="47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43" fontId="37" fillId="0" borderId="0" xfId="153" applyNumberFormat="1" applyFont="1" applyBorder="1" applyAlignment="1">
      <alignment horizontal="center"/>
    </xf>
    <xf numFmtId="206" fontId="37" fillId="0" borderId="31" xfId="153" applyNumberFormat="1" applyFont="1" applyBorder="1" applyAlignment="1">
      <alignment horizontal="center"/>
    </xf>
    <xf numFmtId="43" fontId="37" fillId="0" borderId="32" xfId="153" applyNumberFormat="1" applyFont="1" applyBorder="1" applyAlignment="1">
      <alignment/>
    </xf>
    <xf numFmtId="0" fontId="37" fillId="0" borderId="31" xfId="0" applyFont="1" applyBorder="1" applyAlignment="1">
      <alignment/>
    </xf>
    <xf numFmtId="0" fontId="54" fillId="0" borderId="70" xfId="0" applyFont="1" applyBorder="1" applyAlignment="1">
      <alignment/>
    </xf>
    <xf numFmtId="0" fontId="37" fillId="0" borderId="35" xfId="0" applyFont="1" applyBorder="1" applyAlignment="1" quotePrefix="1">
      <alignment horizontal="center"/>
    </xf>
    <xf numFmtId="0" fontId="37" fillId="0" borderId="47" xfId="0" applyFont="1" applyBorder="1" applyAlignment="1">
      <alignment horizontal="left"/>
    </xf>
    <xf numFmtId="43" fontId="37" fillId="0" borderId="36" xfId="153" applyNumberFormat="1" applyFont="1" applyBorder="1" applyAlignment="1">
      <alignment horizontal="center"/>
    </xf>
    <xf numFmtId="206" fontId="37" fillId="0" borderId="35" xfId="153" applyNumberFormat="1" applyFont="1" applyBorder="1" applyAlignment="1">
      <alignment/>
    </xf>
    <xf numFmtId="43" fontId="37" fillId="0" borderId="36" xfId="153" applyNumberFormat="1" applyFont="1" applyBorder="1" applyAlignment="1">
      <alignment/>
    </xf>
    <xf numFmtId="0" fontId="37" fillId="0" borderId="35" xfId="0" applyFont="1" applyBorder="1" applyAlignment="1">
      <alignment horizontal="center"/>
    </xf>
    <xf numFmtId="191" fontId="44" fillId="0" borderId="71" xfId="0" applyNumberFormat="1" applyFont="1" applyBorder="1" applyAlignment="1">
      <alignment/>
    </xf>
    <xf numFmtId="0" fontId="78" fillId="0" borderId="0" xfId="0" applyFont="1" applyBorder="1" applyAlignment="1">
      <alignment/>
    </xf>
    <xf numFmtId="191" fontId="37" fillId="0" borderId="0" xfId="0" applyNumberFormat="1" applyFont="1" applyBorder="1" applyAlignment="1">
      <alignment horizontal="right"/>
    </xf>
    <xf numFmtId="0" fontId="76" fillId="0" borderId="72" xfId="0" applyFont="1" applyBorder="1" applyAlignment="1">
      <alignment/>
    </xf>
    <xf numFmtId="0" fontId="79" fillId="0" borderId="0" xfId="0" applyFont="1" applyAlignment="1">
      <alignment/>
    </xf>
    <xf numFmtId="43" fontId="38" fillId="0" borderId="36" xfId="0" applyNumberFormat="1" applyFont="1" applyBorder="1" applyAlignment="1">
      <alignment/>
    </xf>
    <xf numFmtId="10" fontId="80" fillId="0" borderId="35" xfId="0" applyNumberFormat="1" applyFont="1" applyBorder="1" applyAlignment="1">
      <alignment/>
    </xf>
    <xf numFmtId="43" fontId="37" fillId="0" borderId="36" xfId="0" applyNumberFormat="1" applyFont="1" applyBorder="1" applyAlignment="1">
      <alignment/>
    </xf>
    <xf numFmtId="206" fontId="37" fillId="0" borderId="35" xfId="153" applyNumberFormat="1" applyFont="1" applyBorder="1" applyAlignment="1">
      <alignment/>
    </xf>
    <xf numFmtId="0" fontId="37" fillId="0" borderId="8" xfId="0" applyFont="1" applyBorder="1" applyAlignment="1">
      <alignment horizontal="center"/>
    </xf>
    <xf numFmtId="43" fontId="37" fillId="0" borderId="33" xfId="0" applyNumberFormat="1" applyFont="1" applyBorder="1" applyAlignment="1">
      <alignment/>
    </xf>
    <xf numFmtId="205" fontId="73" fillId="0" borderId="40" xfId="153" applyNumberFormat="1" applyFont="1" applyBorder="1" applyAlignment="1">
      <alignment horizontal="center"/>
    </xf>
    <xf numFmtId="43" fontId="37" fillId="0" borderId="32" xfId="0" applyNumberFormat="1" applyFont="1" applyBorder="1" applyAlignment="1">
      <alignment/>
    </xf>
    <xf numFmtId="40" fontId="37" fillId="0" borderId="48" xfId="153" applyFont="1" applyBorder="1" applyAlignment="1">
      <alignment horizontal="right"/>
    </xf>
    <xf numFmtId="40" fontId="37" fillId="0" borderId="29" xfId="153" applyFont="1" applyFill="1" applyBorder="1" applyAlignment="1">
      <alignment/>
    </xf>
    <xf numFmtId="40" fontId="37" fillId="0" borderId="29" xfId="153" applyFont="1" applyBorder="1" applyAlignment="1">
      <alignment/>
    </xf>
    <xf numFmtId="40" fontId="37" fillId="0" borderId="29" xfId="153" applyFont="1" applyBorder="1" applyAlignment="1">
      <alignment horizontal="center"/>
    </xf>
    <xf numFmtId="40" fontId="37" fillId="0" borderId="29" xfId="153" applyFont="1" applyBorder="1" applyAlignment="1">
      <alignment horizontal="right"/>
    </xf>
    <xf numFmtId="43" fontId="37" fillId="0" borderId="29" xfId="153" applyNumberFormat="1" applyFont="1" applyBorder="1" applyAlignment="1">
      <alignment/>
    </xf>
    <xf numFmtId="43" fontId="37" fillId="0" borderId="29" xfId="153" applyNumberFormat="1" applyFont="1" applyBorder="1" applyAlignment="1">
      <alignment horizontal="right"/>
    </xf>
    <xf numFmtId="40" fontId="37" fillId="0" borderId="30" xfId="153" applyFont="1" applyBorder="1" applyAlignment="1">
      <alignment/>
    </xf>
    <xf numFmtId="40" fontId="37" fillId="0" borderId="0" xfId="153" applyFont="1" applyAlignment="1">
      <alignment/>
    </xf>
    <xf numFmtId="3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right"/>
    </xf>
    <xf numFmtId="43" fontId="37" fillId="0" borderId="0" xfId="153" applyNumberFormat="1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43" fontId="37" fillId="0" borderId="0" xfId="153" applyNumberFormat="1" applyFont="1" applyAlignment="1">
      <alignment/>
    </xf>
    <xf numFmtId="0" fontId="38" fillId="0" borderId="0" xfId="0" applyFont="1" applyBorder="1" applyAlignment="1">
      <alignment horizontal="center"/>
    </xf>
    <xf numFmtId="43" fontId="38" fillId="0" borderId="0" xfId="153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3" fontId="37" fillId="0" borderId="0" xfId="153" applyNumberFormat="1" applyFont="1" applyAlignment="1" applyProtection="1">
      <alignment/>
      <protection locked="0"/>
    </xf>
    <xf numFmtId="43" fontId="37" fillId="0" borderId="0" xfId="153" applyNumberFormat="1" applyFont="1" applyAlignment="1" applyProtection="1">
      <alignment horizontal="right"/>
      <protection locked="0"/>
    </xf>
    <xf numFmtId="43" fontId="37" fillId="0" borderId="0" xfId="153" applyNumberFormat="1" applyFont="1" applyAlignment="1" applyProtection="1">
      <alignment horizontal="center"/>
      <protection locked="0"/>
    </xf>
    <xf numFmtId="217" fontId="37" fillId="0" borderId="0" xfId="0" applyNumberFormat="1" applyFont="1" applyAlignment="1">
      <alignment/>
    </xf>
    <xf numFmtId="40" fontId="38" fillId="0" borderId="73" xfId="153" applyFont="1" applyBorder="1" applyAlignment="1">
      <alignment/>
    </xf>
    <xf numFmtId="0" fontId="54" fillId="0" borderId="74" xfId="0" applyFont="1" applyBorder="1" applyAlignment="1">
      <alignment/>
    </xf>
    <xf numFmtId="40" fontId="37" fillId="0" borderId="47" xfId="153" applyFont="1" applyBorder="1" applyAlignment="1">
      <alignment/>
    </xf>
    <xf numFmtId="218" fontId="37" fillId="0" borderId="35" xfId="153" applyNumberFormat="1" applyFont="1" applyBorder="1" applyAlignment="1">
      <alignment horizontal="center"/>
    </xf>
    <xf numFmtId="191" fontId="44" fillId="0" borderId="74" xfId="0" applyNumberFormat="1" applyFont="1" applyBorder="1" applyAlignment="1">
      <alignment/>
    </xf>
    <xf numFmtId="0" fontId="76" fillId="0" borderId="75" xfId="0" applyFont="1" applyBorder="1" applyAlignment="1">
      <alignment/>
    </xf>
    <xf numFmtId="0" fontId="79" fillId="0" borderId="0" xfId="0" applyFont="1" applyBorder="1" applyAlignment="1">
      <alignment/>
    </xf>
    <xf numFmtId="40" fontId="37" fillId="0" borderId="48" xfId="153" applyFont="1" applyBorder="1" applyAlignment="1">
      <alignment/>
    </xf>
    <xf numFmtId="43" fontId="38" fillId="0" borderId="30" xfId="0" applyNumberFormat="1" applyFont="1" applyBorder="1" applyAlignment="1">
      <alignment/>
    </xf>
    <xf numFmtId="218" fontId="37" fillId="0" borderId="33" xfId="153" applyNumberFormat="1" applyFont="1" applyBorder="1" applyAlignment="1">
      <alignment horizontal="center"/>
    </xf>
    <xf numFmtId="206" fontId="37" fillId="0" borderId="35" xfId="153" applyNumberFormat="1" applyFont="1" applyBorder="1" applyAlignment="1">
      <alignment horizontal="center"/>
    </xf>
    <xf numFmtId="0" fontId="37" fillId="0" borderId="35" xfId="0" applyFont="1" applyBorder="1" applyAlignment="1">
      <alignment/>
    </xf>
    <xf numFmtId="40" fontId="37" fillId="0" borderId="47" xfId="153" applyFont="1" applyBorder="1" applyAlignment="1">
      <alignment horizontal="left"/>
    </xf>
    <xf numFmtId="205" fontId="73" fillId="0" borderId="0" xfId="153" applyNumberFormat="1" applyFont="1" applyBorder="1" applyAlignment="1">
      <alignment horizontal="center"/>
    </xf>
    <xf numFmtId="43" fontId="73" fillId="0" borderId="0" xfId="153" applyNumberFormat="1" applyFont="1" applyAlignment="1">
      <alignment/>
    </xf>
    <xf numFmtId="0" fontId="73" fillId="0" borderId="8" xfId="0" applyFont="1" applyBorder="1" applyAlignment="1">
      <alignment horizontal="center"/>
    </xf>
    <xf numFmtId="0" fontId="73" fillId="0" borderId="8" xfId="0" applyFont="1" applyFill="1" applyBorder="1" applyAlignment="1">
      <alignment/>
    </xf>
    <xf numFmtId="43" fontId="73" fillId="22" borderId="8" xfId="156" applyNumberFormat="1" applyFont="1" applyFill="1" applyBorder="1" applyAlignment="1">
      <alignment horizontal="right"/>
    </xf>
    <xf numFmtId="0" fontId="73" fillId="0" borderId="8" xfId="0" applyFont="1" applyFill="1" applyBorder="1" applyAlignment="1" applyProtection="1">
      <alignment horizontal="center" vertical="center"/>
      <protection/>
    </xf>
    <xf numFmtId="0" fontId="73" fillId="0" borderId="8" xfId="0" applyFont="1" applyBorder="1" applyAlignment="1">
      <alignment/>
    </xf>
    <xf numFmtId="43" fontId="73" fillId="0" borderId="8" xfId="0" applyNumberFormat="1" applyFont="1" applyBorder="1" applyAlignment="1">
      <alignment/>
    </xf>
    <xf numFmtId="0" fontId="73" fillId="0" borderId="0" xfId="0" applyFont="1" applyAlignment="1">
      <alignment horizontal="center"/>
    </xf>
    <xf numFmtId="40" fontId="73" fillId="0" borderId="8" xfId="153" applyFont="1" applyBorder="1" applyAlignment="1">
      <alignment horizontal="center"/>
    </xf>
    <xf numFmtId="43" fontId="73" fillId="22" borderId="8" xfId="153" applyNumberFormat="1" applyFont="1" applyFill="1" applyBorder="1" applyAlignment="1">
      <alignment horizontal="right"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right"/>
    </xf>
    <xf numFmtId="43" fontId="86" fillId="0" borderId="8" xfId="0" applyNumberFormat="1" applyFont="1" applyBorder="1" applyAlignment="1">
      <alignment/>
    </xf>
    <xf numFmtId="43" fontId="86" fillId="22" borderId="8" xfId="153" applyNumberFormat="1" applyFont="1" applyFill="1" applyBorder="1" applyAlignment="1">
      <alignment horizontal="right"/>
    </xf>
    <xf numFmtId="205" fontId="37" fillId="0" borderId="0" xfId="153" applyNumberFormat="1" applyFont="1" applyAlignment="1" quotePrefix="1">
      <alignment horizontal="center"/>
    </xf>
    <xf numFmtId="205" fontId="37" fillId="0" borderId="36" xfId="153" applyNumberFormat="1" applyFont="1" applyBorder="1" applyAlignment="1">
      <alignment horizontal="center"/>
    </xf>
    <xf numFmtId="205" fontId="37" fillId="0" borderId="36" xfId="153" applyNumberFormat="1" applyFont="1" applyBorder="1" applyAlignment="1">
      <alignment/>
    </xf>
    <xf numFmtId="205" fontId="37" fillId="0" borderId="36" xfId="153" applyNumberFormat="1" applyFont="1" applyBorder="1" applyAlignment="1">
      <alignment/>
    </xf>
    <xf numFmtId="205" fontId="37" fillId="0" borderId="8" xfId="153" applyNumberFormat="1" applyFont="1" applyBorder="1" applyAlignment="1">
      <alignment/>
    </xf>
    <xf numFmtId="205" fontId="37" fillId="0" borderId="0" xfId="153" applyNumberFormat="1" applyFont="1" applyAlignment="1">
      <alignment/>
    </xf>
    <xf numFmtId="205" fontId="37" fillId="0" borderId="0" xfId="153" applyNumberFormat="1" applyFont="1" applyBorder="1" applyAlignment="1">
      <alignment/>
    </xf>
    <xf numFmtId="205" fontId="37" fillId="0" borderId="31" xfId="153" applyNumberFormat="1" applyFont="1" applyBorder="1" applyAlignment="1">
      <alignment horizontal="center"/>
    </xf>
    <xf numFmtId="205" fontId="37" fillId="0" borderId="33" xfId="153" applyNumberFormat="1" applyFont="1" applyBorder="1" applyAlignment="1">
      <alignment horizontal="center"/>
    </xf>
    <xf numFmtId="205" fontId="37" fillId="0" borderId="0" xfId="153" applyNumberFormat="1" applyFont="1" applyBorder="1" applyAlignment="1">
      <alignment horizontal="center"/>
    </xf>
    <xf numFmtId="205" fontId="37" fillId="0" borderId="0" xfId="153" applyNumberFormat="1" applyFont="1" applyBorder="1" applyAlignment="1" quotePrefix="1">
      <alignment horizontal="center"/>
    </xf>
    <xf numFmtId="205" fontId="37" fillId="0" borderId="29" xfId="153" applyNumberFormat="1" applyFont="1" applyBorder="1" applyAlignment="1" quotePrefix="1">
      <alignment horizontal="center"/>
    </xf>
    <xf numFmtId="205" fontId="37" fillId="0" borderId="0" xfId="153" applyNumberFormat="1" applyFont="1" applyAlignment="1">
      <alignment horizontal="center"/>
    </xf>
    <xf numFmtId="205" fontId="37" fillId="0" borderId="0" xfId="153" applyNumberFormat="1" applyFont="1" applyAlignment="1" applyProtection="1">
      <alignment horizontal="right"/>
      <protection locked="0"/>
    </xf>
    <xf numFmtId="205" fontId="37" fillId="0" borderId="0" xfId="153" applyNumberFormat="1" applyFont="1" applyAlignment="1" applyProtection="1">
      <alignment horizontal="center"/>
      <protection locked="0"/>
    </xf>
    <xf numFmtId="205" fontId="37" fillId="0" borderId="30" xfId="153" applyNumberFormat="1" applyFont="1" applyBorder="1" applyAlignment="1">
      <alignment/>
    </xf>
    <xf numFmtId="193" fontId="38" fillId="0" borderId="8" xfId="153" applyNumberFormat="1" applyFont="1" applyBorder="1" applyAlignment="1">
      <alignment horizontal="center" vertical="center"/>
    </xf>
    <xf numFmtId="17" fontId="3" fillId="0" borderId="65" xfId="171" applyNumberFormat="1" applyFont="1" applyBorder="1" applyAlignment="1" quotePrefix="1">
      <alignment horizontal="center"/>
      <protection/>
    </xf>
    <xf numFmtId="0" fontId="60" fillId="9" borderId="76" xfId="171" applyFont="1" applyFill="1" applyBorder="1" applyAlignment="1">
      <alignment horizontal="center"/>
      <protection/>
    </xf>
    <xf numFmtId="0" fontId="60" fillId="9" borderId="3" xfId="171" applyFont="1" applyFill="1" applyBorder="1" applyAlignment="1">
      <alignment horizontal="center"/>
      <protection/>
    </xf>
    <xf numFmtId="43" fontId="60" fillId="9" borderId="76" xfId="156" applyNumberFormat="1" applyFont="1" applyFill="1" applyBorder="1" applyAlignment="1">
      <alignment horizontal="center"/>
    </xf>
    <xf numFmtId="43" fontId="60" fillId="9" borderId="3" xfId="156" applyNumberFormat="1" applyFont="1" applyFill="1" applyBorder="1" applyAlignment="1">
      <alignment horizontal="center"/>
    </xf>
    <xf numFmtId="43" fontId="60" fillId="9" borderId="77" xfId="156" applyNumberFormat="1" applyFont="1" applyFill="1" applyBorder="1" applyAlignment="1">
      <alignment horizontal="center"/>
    </xf>
    <xf numFmtId="43" fontId="62" fillId="0" borderId="47" xfId="156" applyNumberFormat="1" applyFont="1" applyBorder="1" applyAlignment="1">
      <alignment horizontal="left"/>
    </xf>
    <xf numFmtId="43" fontId="62" fillId="0" borderId="0" xfId="156" applyNumberFormat="1" applyFont="1" applyAlignment="1">
      <alignment horizontal="left"/>
    </xf>
    <xf numFmtId="43" fontId="60" fillId="0" borderId="0" xfId="156" applyNumberFormat="1" applyFont="1" applyAlignment="1">
      <alignment vertical="center"/>
    </xf>
    <xf numFmtId="43" fontId="60" fillId="0" borderId="47" xfId="156" applyNumberFormat="1" applyFont="1" applyBorder="1" applyAlignment="1">
      <alignment horizontal="center"/>
    </xf>
    <xf numFmtId="43" fontId="60" fillId="0" borderId="0" xfId="156" applyNumberFormat="1" applyFont="1" applyBorder="1" applyAlignment="1">
      <alignment horizontal="center"/>
    </xf>
    <xf numFmtId="43" fontId="60" fillId="0" borderId="36" xfId="156" applyNumberFormat="1" applyFont="1" applyBorder="1" applyAlignment="1">
      <alignment horizontal="center"/>
    </xf>
    <xf numFmtId="0" fontId="37" fillId="0" borderId="0" xfId="116" applyFont="1" applyAlignment="1">
      <alignment horizontal="center" vertical="center"/>
      <protection/>
    </xf>
    <xf numFmtId="0" fontId="55" fillId="0" borderId="0" xfId="184" applyFont="1" applyAlignment="1">
      <alignment horizontal="center" vertical="center"/>
      <protection/>
    </xf>
    <xf numFmtId="0" fontId="38" fillId="0" borderId="46" xfId="121" applyFont="1" applyBorder="1" applyAlignment="1">
      <alignment horizontal="center" vertical="center"/>
      <protection/>
    </xf>
    <xf numFmtId="0" fontId="38" fillId="0" borderId="4" xfId="121" applyFont="1" applyBorder="1" applyAlignment="1">
      <alignment horizontal="center" vertical="center"/>
      <protection/>
    </xf>
    <xf numFmtId="2" fontId="38" fillId="23" borderId="46" xfId="121" applyNumberFormat="1" applyFont="1" applyFill="1" applyBorder="1" applyAlignment="1">
      <alignment horizontal="center" vertical="center"/>
      <protection/>
    </xf>
    <xf numFmtId="2" fontId="38" fillId="23" borderId="4" xfId="121" applyNumberFormat="1" applyFont="1" applyFill="1" applyBorder="1" applyAlignment="1">
      <alignment horizontal="center" vertical="center"/>
      <protection/>
    </xf>
    <xf numFmtId="0" fontId="38" fillId="0" borderId="50" xfId="121" applyFont="1" applyBorder="1" applyAlignment="1">
      <alignment horizontal="center" vertical="center"/>
      <protection/>
    </xf>
    <xf numFmtId="0" fontId="38" fillId="0" borderId="57" xfId="121" applyFont="1" applyBorder="1" applyAlignment="1">
      <alignment horizontal="center" vertical="center"/>
      <protection/>
    </xf>
    <xf numFmtId="0" fontId="38" fillId="0" borderId="32" xfId="121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75" fillId="0" borderId="0" xfId="0" applyFont="1" applyAlignment="1">
      <alignment horizontal="center"/>
    </xf>
    <xf numFmtId="0" fontId="76" fillId="0" borderId="78" xfId="0" applyFont="1" applyBorder="1" applyAlignment="1">
      <alignment horizontal="center"/>
    </xf>
    <xf numFmtId="0" fontId="76" fillId="0" borderId="67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46" xfId="0" applyFont="1" applyBorder="1" applyAlignment="1">
      <alignment horizontal="right"/>
    </xf>
    <xf numFmtId="0" fontId="37" fillId="0" borderId="4" xfId="0" applyFont="1" applyBorder="1" applyAlignment="1">
      <alignment horizontal="right"/>
    </xf>
    <xf numFmtId="0" fontId="37" fillId="0" borderId="50" xfId="0" applyFont="1" applyBorder="1" applyAlignment="1">
      <alignment horizontal="right"/>
    </xf>
    <xf numFmtId="43" fontId="37" fillId="0" borderId="0" xfId="153" applyNumberFormat="1" applyFont="1" applyAlignment="1">
      <alignment horizontal="center"/>
    </xf>
    <xf numFmtId="43" fontId="37" fillId="0" borderId="0" xfId="153" applyNumberFormat="1" applyFont="1" applyAlignment="1">
      <alignment horizontal="left"/>
    </xf>
    <xf numFmtId="0" fontId="43" fillId="0" borderId="42" xfId="121" applyFont="1" applyBorder="1" applyAlignment="1" quotePrefix="1">
      <alignment horizontal="center" vertical="center"/>
      <protection/>
    </xf>
    <xf numFmtId="0" fontId="43" fillId="0" borderId="14" xfId="121" applyFont="1" applyBorder="1" applyAlignment="1" quotePrefix="1">
      <alignment horizontal="center" vertical="center"/>
      <protection/>
    </xf>
    <xf numFmtId="0" fontId="43" fillId="0" borderId="13" xfId="121" applyFont="1" applyBorder="1" applyAlignment="1" quotePrefix="1">
      <alignment horizontal="center" vertical="center"/>
      <protection/>
    </xf>
    <xf numFmtId="0" fontId="43" fillId="0" borderId="24" xfId="121" applyFont="1" applyBorder="1" applyAlignment="1">
      <alignment horizontal="center" vertical="center"/>
      <protection/>
    </xf>
    <xf numFmtId="0" fontId="43" fillId="0" borderId="26" xfId="121" applyFont="1" applyBorder="1" applyAlignment="1">
      <alignment horizontal="center" vertical="center"/>
      <protection/>
    </xf>
    <xf numFmtId="0" fontId="43" fillId="0" borderId="25" xfId="121" applyFont="1" applyBorder="1" applyAlignment="1">
      <alignment horizontal="center" vertical="center"/>
      <protection/>
    </xf>
    <xf numFmtId="0" fontId="43" fillId="0" borderId="29" xfId="121" applyFont="1" applyBorder="1" applyAlignment="1">
      <alignment horizontal="center" vertical="center"/>
      <protection/>
    </xf>
    <xf numFmtId="0" fontId="43" fillId="0" borderId="57" xfId="121" applyFont="1" applyBorder="1" applyAlignment="1" applyProtection="1">
      <alignment horizontal="center" vertical="center"/>
      <protection locked="0"/>
    </xf>
    <xf numFmtId="0" fontId="43" fillId="0" borderId="32" xfId="121" applyFont="1" applyBorder="1" applyAlignment="1" applyProtection="1">
      <alignment horizontal="center" vertical="center"/>
      <protection locked="0"/>
    </xf>
    <xf numFmtId="0" fontId="43" fillId="0" borderId="46" xfId="121" applyFont="1" applyBorder="1" applyAlignment="1" applyProtection="1">
      <alignment horizontal="center" vertical="center"/>
      <protection locked="0"/>
    </xf>
    <xf numFmtId="0" fontId="43" fillId="0" borderId="50" xfId="121" applyFont="1" applyBorder="1" applyAlignment="1" applyProtection="1">
      <alignment horizontal="center" vertical="center"/>
      <protection locked="0"/>
    </xf>
    <xf numFmtId="0" fontId="38" fillId="0" borderId="42" xfId="121" applyFont="1" applyBorder="1" applyAlignment="1">
      <alignment horizontal="left" vertical="center"/>
      <protection/>
    </xf>
    <xf numFmtId="0" fontId="38" fillId="0" borderId="14" xfId="121" applyFont="1" applyBorder="1" applyAlignment="1">
      <alignment horizontal="left" vertical="center"/>
      <protection/>
    </xf>
    <xf numFmtId="0" fontId="43" fillId="2" borderId="46" xfId="121" applyFont="1" applyFill="1" applyBorder="1" applyAlignment="1">
      <alignment horizontal="center" vertical="center"/>
      <protection/>
    </xf>
    <xf numFmtId="0" fontId="43" fillId="2" borderId="4" xfId="121" applyFont="1" applyFill="1" applyBorder="1" applyAlignment="1">
      <alignment horizontal="center" vertical="center"/>
      <protection/>
    </xf>
    <xf numFmtId="0" fontId="43" fillId="0" borderId="42" xfId="122" applyFont="1" applyFill="1" applyBorder="1" applyAlignment="1">
      <alignment horizontal="left" vertical="center"/>
      <protection/>
    </xf>
    <xf numFmtId="0" fontId="43" fillId="0" borderId="13" xfId="122" applyFont="1" applyFill="1" applyBorder="1" applyAlignment="1">
      <alignment horizontal="left" vertical="center"/>
      <protection/>
    </xf>
    <xf numFmtId="0" fontId="37" fillId="0" borderId="38" xfId="122" applyFont="1" applyFill="1" applyBorder="1" applyAlignment="1">
      <alignment horizontal="left" vertical="center"/>
      <protection/>
    </xf>
    <xf numFmtId="0" fontId="38" fillId="0" borderId="18" xfId="122" applyFont="1" applyFill="1" applyBorder="1" applyAlignment="1">
      <alignment horizontal="left" vertical="center"/>
      <protection/>
    </xf>
    <xf numFmtId="0" fontId="38" fillId="0" borderId="38" xfId="122" applyFont="1" applyFill="1" applyBorder="1" applyAlignment="1">
      <alignment horizontal="left" vertical="center"/>
      <protection/>
    </xf>
    <xf numFmtId="0" fontId="2" fillId="0" borderId="38" xfId="122" applyFont="1" applyFill="1" applyBorder="1" applyAlignment="1">
      <alignment horizontal="left" vertical="center"/>
      <protection/>
    </xf>
    <xf numFmtId="0" fontId="36" fillId="0" borderId="18" xfId="122" applyFont="1" applyFill="1" applyBorder="1" applyAlignment="1">
      <alignment horizontal="left" vertical="center"/>
      <protection/>
    </xf>
    <xf numFmtId="0" fontId="37" fillId="0" borderId="8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39" fillId="0" borderId="29" xfId="141" applyFont="1" applyFill="1" applyBorder="1" applyAlignment="1">
      <alignment horizontal="center" vertical="center"/>
      <protection/>
    </xf>
    <xf numFmtId="0" fontId="37" fillId="0" borderId="40" xfId="0" applyFont="1" applyFill="1" applyBorder="1" applyAlignment="1">
      <alignment horizontal="center"/>
    </xf>
    <xf numFmtId="0" fontId="38" fillId="0" borderId="42" xfId="182" applyFont="1" applyFill="1" applyBorder="1" applyAlignment="1" quotePrefix="1">
      <alignment horizontal="center" vertical="center"/>
      <protection/>
    </xf>
    <xf numFmtId="0" fontId="38" fillId="0" borderId="14" xfId="182" applyFont="1" applyFill="1" applyBorder="1" applyAlignment="1" quotePrefix="1">
      <alignment horizontal="center" vertical="center"/>
      <protection/>
    </xf>
    <xf numFmtId="0" fontId="38" fillId="0" borderId="13" xfId="182" applyFont="1" applyFill="1" applyBorder="1" applyAlignment="1" quotePrefix="1">
      <alignment horizontal="center" vertical="center"/>
      <protection/>
    </xf>
    <xf numFmtId="0" fontId="38" fillId="0" borderId="24" xfId="182" applyFont="1" applyFill="1" applyBorder="1" applyAlignment="1">
      <alignment horizontal="center" vertical="center"/>
      <protection/>
    </xf>
    <xf numFmtId="0" fontId="38" fillId="0" borderId="26" xfId="182" applyFont="1" applyFill="1" applyBorder="1" applyAlignment="1">
      <alignment horizontal="center" vertical="center"/>
      <protection/>
    </xf>
    <xf numFmtId="0" fontId="38" fillId="0" borderId="25" xfId="182" applyFont="1" applyFill="1" applyBorder="1" applyAlignment="1">
      <alignment horizontal="center" vertical="center"/>
      <protection/>
    </xf>
    <xf numFmtId="0" fontId="38" fillId="0" borderId="42" xfId="122" applyFont="1" applyFill="1" applyBorder="1" applyAlignment="1">
      <alignment horizontal="center" vertical="center"/>
      <protection/>
    </xf>
    <xf numFmtId="0" fontId="38" fillId="0" borderId="13" xfId="122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15" xfId="0" applyFont="1" applyFill="1" applyBorder="1" applyAlignment="1" applyProtection="1">
      <alignment horizontal="left"/>
      <protection/>
    </xf>
    <xf numFmtId="0" fontId="38" fillId="0" borderId="16" xfId="0" applyFont="1" applyFill="1" applyBorder="1" applyAlignment="1" applyProtection="1">
      <alignment horizontal="left"/>
      <protection/>
    </xf>
    <xf numFmtId="0" fontId="34" fillId="0" borderId="15" xfId="122" applyFont="1" applyFill="1" applyBorder="1" applyAlignment="1">
      <alignment horizontal="left" vertical="center"/>
      <protection/>
    </xf>
    <xf numFmtId="0" fontId="34" fillId="0" borderId="16" xfId="122" applyFont="1" applyFill="1" applyBorder="1" applyAlignment="1">
      <alignment horizontal="left" vertical="center"/>
      <protection/>
    </xf>
    <xf numFmtId="0" fontId="43" fillId="0" borderId="15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</cellXfs>
  <cellStyles count="190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ส่วนที่ถูกเน้น1" xfId="34"/>
    <cellStyle name="20% - ส่วนที่ถูกเน้น2" xfId="35"/>
    <cellStyle name="20% - ส่วนที่ถูกเน้น3" xfId="36"/>
    <cellStyle name="20% - ส่วนที่ถูกเน้น4" xfId="37"/>
    <cellStyle name="20% - ส่วนที่ถูกเน้น5" xfId="38"/>
    <cellStyle name="20% - ส่วนที่ถูกเน้น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ส่วนที่ถูกเน้น1" xfId="46"/>
    <cellStyle name="40% - ส่วนที่ถูกเน้น2" xfId="47"/>
    <cellStyle name="40% - ส่วนที่ถูกเน้น3" xfId="48"/>
    <cellStyle name="40% - ส่วนที่ถูกเน้น4" xfId="49"/>
    <cellStyle name="40% - ส่วนที่ถูกเน้น5" xfId="50"/>
    <cellStyle name="40% - ส่วนที่ถูกเน้น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ส่วนที่ถูกเน้น1" xfId="58"/>
    <cellStyle name="60% - ส่วนที่ถูกเน้น2" xfId="59"/>
    <cellStyle name="60% - ส่วนที่ถูกเน้น3" xfId="60"/>
    <cellStyle name="60% - ส่วนที่ถูกเน้น4" xfId="61"/>
    <cellStyle name="60% - ส่วนที่ถูกเน้น5" xfId="62"/>
    <cellStyle name="60% - ส่วนที่ถูกเน้น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1)" xfId="74"/>
    <cellStyle name="Calc Percent (2)" xfId="75"/>
    <cellStyle name="Calc Units (0)" xfId="76"/>
    <cellStyle name="Calc Units (1)" xfId="77"/>
    <cellStyle name="Calc Units (2)" xfId="78"/>
    <cellStyle name="Calculation" xfId="79"/>
    <cellStyle name="Check Cell" xfId="80"/>
    <cellStyle name="Comma [00]" xfId="81"/>
    <cellStyle name="Comma 2" xfId="82"/>
    <cellStyle name="Comma_52-10229-52 แฟลตนักศีกษาแพทย์ และอาจารย์ ( ครั้งที่ 2 )" xfId="83"/>
    <cellStyle name="Comma_แบบตารางใหม่" xfId="84"/>
    <cellStyle name="Currency [00]" xfId="85"/>
    <cellStyle name="Date" xfId="86"/>
    <cellStyle name="Date Short" xfId="87"/>
    <cellStyle name="Enter Currency (0)" xfId="88"/>
    <cellStyle name="Enter Currency (2)" xfId="89"/>
    <cellStyle name="Enter Units (0)" xfId="90"/>
    <cellStyle name="Enter Units (1)" xfId="91"/>
    <cellStyle name="Enter Units (2)" xfId="92"/>
    <cellStyle name="Explanatory Text" xfId="93"/>
    <cellStyle name="Good" xfId="94"/>
    <cellStyle name="Grey" xfId="95"/>
    <cellStyle name="Header1" xfId="96"/>
    <cellStyle name="Header2" xfId="97"/>
    <cellStyle name="Heading 1" xfId="98"/>
    <cellStyle name="Heading 2" xfId="99"/>
    <cellStyle name="Heading 3" xfId="100"/>
    <cellStyle name="Heading 4" xfId="101"/>
    <cellStyle name="Hyperlink_Factor_2550_V2_0_7% -โยธาไทย" xfId="102"/>
    <cellStyle name="Input" xfId="103"/>
    <cellStyle name="Input [yellow]" xfId="104"/>
    <cellStyle name="Input_54-10749 อาคารรังสีรักษา ร.พ.ขอนแก่น" xfId="105"/>
    <cellStyle name="Link Currency (0)" xfId="106"/>
    <cellStyle name="Link Currency (2)" xfId="107"/>
    <cellStyle name="Link Units (0)" xfId="108"/>
    <cellStyle name="Link Units (1)" xfId="109"/>
    <cellStyle name="Link Units (2)" xfId="110"/>
    <cellStyle name="Linked Cell" xfId="111"/>
    <cellStyle name="Neutral" xfId="112"/>
    <cellStyle name="New Times Roman" xfId="113"/>
    <cellStyle name="Normal - Style1" xfId="114"/>
    <cellStyle name="Normal 2" xfId="115"/>
    <cellStyle name="Normal_10051 &amp; ข 38-39-40 -มีค-50 2" xfId="116"/>
    <cellStyle name="Normal_10051 &amp; ข 38-39-40 -มีค-50_54-8079 (สค-54)" xfId="117"/>
    <cellStyle name="Normal_50-10051 &amp; ข31-กพ-50 -ศูนย์แพทย์ศาสตร์ 9 ชั้น" xfId="118"/>
    <cellStyle name="Normal_50-10127อุดรธานี" xfId="119"/>
    <cellStyle name="Normal_52-10229-52 แฟลตนักศีกษาแพทย์ และอาจารย์ ( ครั้งที่ 2 )" xfId="120"/>
    <cellStyle name="Normal_แบบตารางใหม่" xfId="121"/>
    <cellStyle name="Normal_แบบตารางใหม่ 2" xfId="122"/>
    <cellStyle name="Normal_แบบตารางใหม่ -กลุ่ม 3 2" xfId="123"/>
    <cellStyle name="Normal_แบบตารางใหม่_54-8079 (สค-54)" xfId="124"/>
    <cellStyle name="Normal_แบบตารางใหม่_54-8079 (สค-54)_55-9555 (มค-55)" xfId="125"/>
    <cellStyle name="Normal_แบบตารางใหม่_54-ก 40-เมย-53 -ช่องลิฟท์ -รพ.เซกา" xfId="126"/>
    <cellStyle name="Normal_แบบตารางใหม่_55-2240-1 (มค-55)" xfId="127"/>
    <cellStyle name="Normal_แบบตารางใหม่_55-8605 (มค-55)" xfId="128"/>
    <cellStyle name="Note" xfId="129"/>
    <cellStyle name="Output" xfId="130"/>
    <cellStyle name="ParaBirimi [0]_RESULTS" xfId="131"/>
    <cellStyle name="ParaBirimi_RESULTS" xfId="132"/>
    <cellStyle name="Percent [0]" xfId="133"/>
    <cellStyle name="Percent [00]" xfId="134"/>
    <cellStyle name="Percent [2]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Style 1" xfId="141"/>
    <cellStyle name="Text Indent A" xfId="142"/>
    <cellStyle name="Text Indent B" xfId="143"/>
    <cellStyle name="Text Indent C" xfId="144"/>
    <cellStyle name="Title" xfId="145"/>
    <cellStyle name="Total" xfId="146"/>
    <cellStyle name="Virg? [0]_RESULTS" xfId="147"/>
    <cellStyle name="Virg?_RESULTS" xfId="148"/>
    <cellStyle name="Warning Text" xfId="149"/>
    <cellStyle name="การคำนวณ" xfId="150"/>
    <cellStyle name="ข้อความเตือน" xfId="151"/>
    <cellStyle name="ข้อความอธิบาย" xfId="152"/>
    <cellStyle name="Comma" xfId="153"/>
    <cellStyle name="Comma [0]" xfId="154"/>
    <cellStyle name="เครื่องหมายจุลภาค 2" xfId="155"/>
    <cellStyle name="เครื่องหมายจุลภาค 2 2" xfId="156"/>
    <cellStyle name="เครื่องหมายจุลภาค 3" xfId="157"/>
    <cellStyle name="เครื่องหมายจุลภาค 3 2" xfId="158"/>
    <cellStyle name="เครื่องหมายจุลภาค 4" xfId="159"/>
    <cellStyle name="เครื่องหมายจุลภาค 5" xfId="160"/>
    <cellStyle name="เครื่องหมายจุลภาค_Boq 52-10229 - EE-NEW" xfId="161"/>
    <cellStyle name="Currency" xfId="162"/>
    <cellStyle name="Currency [0]" xfId="163"/>
    <cellStyle name="ชื่อเรื่อง" xfId="164"/>
    <cellStyle name="เชื่อมโยงหลายมิติ" xfId="165"/>
    <cellStyle name="เซลล์ตรวจสอบ" xfId="166"/>
    <cellStyle name="เซลล์ที่มีการเชื่อมโยง" xfId="167"/>
    <cellStyle name="ดี" xfId="168"/>
    <cellStyle name="ตามการเชื่อมโยงหลายมิติ" xfId="169"/>
    <cellStyle name="ปกติ 2" xfId="170"/>
    <cellStyle name="ปกติ 2 2" xfId="171"/>
    <cellStyle name="ปกติ 3" xfId="172"/>
    <cellStyle name="ปกติ 3 2" xfId="173"/>
    <cellStyle name="ปกติ 3 2 2" xfId="174"/>
    <cellStyle name="ปกติ 4" xfId="175"/>
    <cellStyle name="ปกติ 4 2" xfId="176"/>
    <cellStyle name="ปกติ 5" xfId="177"/>
    <cellStyle name="ปกติ 6" xfId="178"/>
    <cellStyle name="ปกติ 6 2" xfId="179"/>
    <cellStyle name="ปกติ_54-3803-ต-26" xfId="180"/>
    <cellStyle name="ปกติ_56-9073 ตั้งงบประมาณ 57" xfId="181"/>
    <cellStyle name="ปกติ_Boq 52-10229 - EE-NEW" xfId="182"/>
    <cellStyle name="ปกติ_อาคาร สนง.ระบบบริการการแพทย์ฉุกเฉิน 10252" xfId="183"/>
    <cellStyle name="ปกติ_อาคารผู้ป่วย รพ.30 เตียง 51" xfId="184"/>
    <cellStyle name="ป้อนค่า" xfId="185"/>
    <cellStyle name="ปานกลาง" xfId="186"/>
    <cellStyle name="Percent" xfId="187"/>
    <cellStyle name="เปอร์เซ็นต์ 2" xfId="188"/>
    <cellStyle name="ผลรวม" xfId="189"/>
    <cellStyle name="แย่" xfId="190"/>
    <cellStyle name="ลักษณะ 1" xfId="191"/>
    <cellStyle name="ส่วนที่ถูกเน้น1" xfId="192"/>
    <cellStyle name="ส่วนที่ถูกเน้น2" xfId="193"/>
    <cellStyle name="ส่วนที่ถูกเน้น3" xfId="194"/>
    <cellStyle name="ส่วนที่ถูกเน้น4" xfId="195"/>
    <cellStyle name="ส่วนที่ถูกเน้น5" xfId="196"/>
    <cellStyle name="ส่วนที่ถูกเน้น6" xfId="197"/>
    <cellStyle name="แสดงผล" xfId="198"/>
    <cellStyle name="หมายเหตุ" xfId="199"/>
    <cellStyle name="หัวเรื่อง 1" xfId="200"/>
    <cellStyle name="หัวเรื่อง 2" xfId="201"/>
    <cellStyle name="หัวเรื่อง 3" xfId="202"/>
    <cellStyle name="หัวเรื่อง 4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66675</xdr:rowOff>
    </xdr:from>
    <xdr:to>
      <xdr:col>1</xdr:col>
      <xdr:colOff>276225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9334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66675</xdr:rowOff>
    </xdr:from>
    <xdr:to>
      <xdr:col>1</xdr:col>
      <xdr:colOff>276225</xdr:colOff>
      <xdr:row>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1715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66675</xdr:rowOff>
    </xdr:from>
    <xdr:to>
      <xdr:col>1</xdr:col>
      <xdr:colOff>276225</xdr:colOff>
      <xdr:row>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14325" y="14097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66675</xdr:rowOff>
    </xdr:from>
    <xdr:to>
      <xdr:col>1</xdr:col>
      <xdr:colOff>276225</xdr:colOff>
      <xdr:row>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314325" y="16478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66675</xdr:rowOff>
    </xdr:from>
    <xdr:to>
      <xdr:col>1</xdr:col>
      <xdr:colOff>276225</xdr:colOff>
      <xdr:row>7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314325" y="18859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66675</xdr:rowOff>
    </xdr:from>
    <xdr:to>
      <xdr:col>1</xdr:col>
      <xdr:colOff>276225</xdr:colOff>
      <xdr:row>10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26003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114300</xdr:rowOff>
    </xdr:from>
    <xdr:to>
      <xdr:col>1</xdr:col>
      <xdr:colOff>285750</xdr:colOff>
      <xdr:row>24</xdr:row>
      <xdr:rowOff>228600</xdr:rowOff>
    </xdr:to>
    <xdr:sp>
      <xdr:nvSpPr>
        <xdr:cNvPr id="7" name="Rectangle 8"/>
        <xdr:cNvSpPr>
          <a:spLocks/>
        </xdr:cNvSpPr>
      </xdr:nvSpPr>
      <xdr:spPr>
        <a:xfrm>
          <a:off x="323850" y="65151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66675</xdr:rowOff>
    </xdr:from>
    <xdr:to>
      <xdr:col>1</xdr:col>
      <xdr:colOff>276225</xdr:colOff>
      <xdr:row>8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21240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6</xdr:col>
      <xdr:colOff>485775</xdr:colOff>
      <xdr:row>10</xdr:row>
      <xdr:rowOff>85725</xdr:rowOff>
    </xdr:from>
    <xdr:to>
      <xdr:col>6</xdr:col>
      <xdr:colOff>590550</xdr:colOff>
      <xdr:row>10</xdr:row>
      <xdr:rowOff>180975</xdr:rowOff>
    </xdr:to>
    <xdr:sp>
      <xdr:nvSpPr>
        <xdr:cNvPr id="9" name="Rectangle 8"/>
        <xdr:cNvSpPr>
          <a:spLocks/>
        </xdr:cNvSpPr>
      </xdr:nvSpPr>
      <xdr:spPr>
        <a:xfrm>
          <a:off x="4057650" y="2619375"/>
          <a:ext cx="104775" cy="9525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66675</xdr:rowOff>
    </xdr:from>
    <xdr:to>
      <xdr:col>1</xdr:col>
      <xdr:colOff>276225</xdr:colOff>
      <xdr:row>9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23622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aya2\d_salaya2\WINDOWS\TEMP\Cos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&#3648;&#3626;&#3609;&#3629;&#3619;&#3634;&#3588;&#3634;-%20(&#3626;&#3641;&#3605;&#3619;)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5;&#3633;&#3657;&#3591;&#3591;&#3610;&#3611;&#3619;&#3632;&#3617;&#3634;&#3603;%202559\59-8813%20&#3605;&#3633;&#3657;&#3591;&#3591;&#3610;%20&#3619;.&#3614;.&#3614;&#3619;&#3632;&#3624;&#3619;&#3637;&#3617;&#3627;&#3634;&#3650;&#3614;&#3608;&#36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rangrut\d\New%20%20Folder(2)\&#3591;&#3634;&#3609;&#3586;&#3629;&#3591;&#3626;&#3640;&#3619;&#3634;&#3591;&#3588;&#3660;&#3619;&#3633;&#3605;&#3609;&#3660;\&#3649;&#3610;&#3610;&#3615;&#3619;&#3629;&#3617;&#3660;%20BOQ\backup\lrm\load%20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WINDOWS\TEMP\&#3648;&#3626;&#3609;&#3629;&#3619;&#3634;&#3588;&#3634;-%20(&#3626;&#3641;&#3605;&#3619;)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&#3591;&#3634;&#3609;&#3650;&#3619;&#3591;&#3614;&#3618;&#3634;&#3610;&#3634;&#3621;\&#3619;&#3634;&#3588;&#3634;&#3585;&#3621;&#3634;&#3591;&#3629;&#3634;&#3588;&#3634;&#3619;&#3651;&#3627;&#3617;&#3656;\&#3616;&#3634;&#3618;&#3651;&#3609;&#3650;&#3619;&#3591;&#3614;&#3618;&#3634;&#3610;&#3634;&#3621;&#3631;\&#3592;&#3657;&#3634;&#3591;&#3607;&#3635;&#3606;&#3609;&#3609;&#3649;&#3621;&#3632;&#3607;&#3634;&#3591;&#3648;&#3594;&#3639;&#3656;&#3629;&#3617;&#3629;&#3634;&#3588;&#3634;&#3619;%20&#3604;&#3657;&#3634;&#3609;&#3627;&#3609;&#3657;&#3634;&#3627;&#3629;&#3614;&#3633;&#3585;&#3649;&#3614;&#3607;&#3618;&#3660;%2010\&#3650;&#3619;&#3591;&#3619;&#3606;EMS(Backup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&#3650;&#3619;&#3591;&#3614;&#3618;&#3634;&#3610;&#3634;&#3621;\&#3619;&#3634;&#3588;&#3634;&#3585;&#3621;&#3634;&#3591;&#3629;&#3634;&#3588;&#3634;&#3619;&#3651;&#3627;&#3617;&#3656;\&#3629;&#3634;&#3588;&#3634;&#3619;&#3614;&#3633;&#3585;%204%20&#3594;&#3633;&#3657;&#3609;%2088%20&#3618;&#3641;&#3609;&#3636;&#3605;\&#3629;&#3634;&#3588;&#3634;&#3619;&#3614;&#3633;&#3585;&#3648;&#3592;&#3657;&#3634;&#3627;&#3609;&#3657;&#3634;&#3607;&#3637;&#3656;%204%20&#3594;&#3633;&#3657;&#3609;%2088%20&#3618;&#3641;&#3609;&#3636;&#3605;_new%20&#3605;&#3633;&#3604;&#3619;&#3632;&#3610;&#3610;%20(&#3619;&#3634;&#3588;&#3634;&#3626;.&#3588;.57)_&#3649;&#3585;&#3657;&#3652;&#3586;&#3619;&#3623;&#3617;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  <sheetName val="ราคาต่อหน่วย2-9"/>
      <sheetName val="รวมราคาทั้งสิ้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ใบสรุปราคา (2)"/>
      <sheetName val="สรุปหมวดงาน"/>
      <sheetName val="BOQ"/>
      <sheetName val="คำนวณ Factor 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LA"/>
      <sheetName val="LOAD-GEPA"/>
      <sheetName val="LOAD-GLA (2)"/>
      <sheetName val="FORM"/>
      <sheetName val="LOAD"/>
      <sheetName val="LOTUS-EE2"/>
      <sheetName val="LOTUS-EE1"/>
      <sheetName val="LOAD-GELA"/>
      <sheetName val="GLA"/>
      <sheetName val="LOAD-GLA"/>
      <sheetName val="GLD"/>
      <sheetName val="GELD"/>
      <sheetName val="LOAD-GELD"/>
      <sheetName val="2LA"/>
      <sheetName val="2LB"/>
      <sheetName val="LOAD-2LB"/>
      <sheetName val="2LC"/>
      <sheetName val="2PA"/>
      <sheetName val="LOAD-2PA"/>
      <sheetName val="2PB"/>
      <sheetName val="2PC"/>
      <sheetName val="LOAD-2PC"/>
      <sheetName val="PPB"/>
      <sheetName val="PPM"/>
      <sheetName val="LOAD-PPM"/>
      <sheetName val="PPS"/>
      <sheetName val="PPT"/>
      <sheetName val="LOAD-PPT"/>
      <sheetName val="2ELA"/>
      <sheetName val="2ELB"/>
      <sheetName val="LOAD-2ELB"/>
      <sheetName val="2ELC"/>
      <sheetName val="2EPP"/>
      <sheetName val="LOAD-2EPP"/>
      <sheetName val="2EPB"/>
      <sheetName val="2EPC1"/>
      <sheetName val="LOAD-2EPC1"/>
      <sheetName val="2EPA"/>
      <sheetName val="2EPC"/>
      <sheetName val="LOAD-2EPC2"/>
      <sheetName val="2UB"/>
      <sheetName val="2UC"/>
      <sheetName val="LOAD-2UC"/>
      <sheetName val="3LA"/>
      <sheetName val="3LC"/>
      <sheetName val="LOAD-3LC"/>
      <sheetName val="3PA"/>
      <sheetName val="3PB"/>
      <sheetName val="LOAD-3PB"/>
      <sheetName val="3PC"/>
      <sheetName val="PFC"/>
      <sheetName val="LOAD-PFC"/>
      <sheetName val="PHD"/>
      <sheetName val="PDW"/>
      <sheetName val="LOAD-PDW"/>
      <sheetName val="3EPA"/>
      <sheetName val="3EPC"/>
      <sheetName val="LOAD-3EPC"/>
      <sheetName val="3UA"/>
      <sheetName val="3UC"/>
      <sheetName val="LOAD-3UC)"/>
      <sheetName val="3ELA"/>
      <sheetName val="3ELB"/>
      <sheetName val="LOAD-3ELB"/>
      <sheetName val="3ELC"/>
      <sheetName val="HARDWARE"/>
      <sheetName val="LOAD-HARDWARE"/>
      <sheetName val="GS (4)"/>
      <sheetName val="VDO"/>
      <sheetName val="LOAD-VDO"/>
      <sheetName val="FC"/>
      <sheetName val="GS (1)"/>
      <sheetName val="LOAD-GS(1)"/>
      <sheetName val="GS 13"/>
      <sheetName val="2S1"/>
      <sheetName val="LOAD-GS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cku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บัญชีวัสดุ"/>
      <sheetName val="สรุปหมวดงาน"/>
      <sheetName val="ใบสรุปราคา"/>
      <sheetName val="สรุปปรับปรุง"/>
      <sheetName val="สรุปครุภัณฑ์"/>
      <sheetName val="สรุปรวม"/>
      <sheetName val="factor F"/>
      <sheetName val="บ่อพัก"/>
      <sheetName val="เทพื้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7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33"/>
  <sheetViews>
    <sheetView zoomScalePageLayoutView="0" workbookViewId="0" topLeftCell="A1">
      <selection activeCell="C4" sqref="C4"/>
    </sheetView>
  </sheetViews>
  <sheetFormatPr defaultColWidth="9.33203125" defaultRowHeight="17.25"/>
  <cols>
    <col min="1" max="1" width="2.66015625" style="436" customWidth="1"/>
    <col min="2" max="2" width="19.5" style="436" customWidth="1"/>
    <col min="3" max="3" width="17.83203125" style="436" customWidth="1"/>
    <col min="4" max="8" width="17.5" style="436" customWidth="1"/>
    <col min="9" max="9" width="18.33203125" style="437" customWidth="1"/>
    <col min="10" max="16384" width="9.33203125" style="437" customWidth="1"/>
  </cols>
  <sheetData>
    <row r="1" spans="2:3" ht="22.5" thickBot="1">
      <c r="B1" s="644"/>
      <c r="C1" s="644"/>
    </row>
    <row r="2" spans="2:8" ht="22.5" thickBot="1">
      <c r="B2" s="645" t="s">
        <v>892</v>
      </c>
      <c r="C2" s="646"/>
      <c r="D2" s="647" t="s">
        <v>893</v>
      </c>
      <c r="E2" s="648"/>
      <c r="F2" s="648"/>
      <c r="G2" s="648"/>
      <c r="H2" s="649"/>
    </row>
    <row r="3" spans="2:8" ht="21.75">
      <c r="B3" s="438" t="s">
        <v>894</v>
      </c>
      <c r="C3" s="439">
        <v>0</v>
      </c>
      <c r="D3" s="440" t="s">
        <v>895</v>
      </c>
      <c r="H3" s="441"/>
    </row>
    <row r="4" spans="2:8" ht="21.75">
      <c r="B4" s="438" t="s">
        <v>896</v>
      </c>
      <c r="C4" s="439">
        <v>0</v>
      </c>
      <c r="D4" s="650"/>
      <c r="E4" s="651"/>
      <c r="F4" s="651"/>
      <c r="H4" s="442"/>
    </row>
    <row r="5" spans="2:8" ht="21.75">
      <c r="B5" s="438" t="s">
        <v>204</v>
      </c>
      <c r="C5" s="443">
        <v>0.06</v>
      </c>
      <c r="H5" s="442"/>
    </row>
    <row r="6" spans="2:8" ht="21.75">
      <c r="B6" s="438" t="s">
        <v>897</v>
      </c>
      <c r="C6" s="439">
        <v>0.07</v>
      </c>
      <c r="D6" s="444" t="s">
        <v>898</v>
      </c>
      <c r="E6" s="652" t="s">
        <v>899</v>
      </c>
      <c r="F6" s="652"/>
      <c r="H6" s="442"/>
    </row>
    <row r="7" spans="2:8" ht="22.5" thickBot="1">
      <c r="B7" s="445"/>
      <c r="C7" s="446"/>
      <c r="H7" s="442"/>
    </row>
    <row r="8" spans="2:8" ht="23.25" thickBot="1" thickTop="1">
      <c r="B8" s="447" t="s">
        <v>205</v>
      </c>
      <c r="C8" s="448" t="s">
        <v>206</v>
      </c>
      <c r="D8" s="449" t="s">
        <v>900</v>
      </c>
      <c r="E8" s="450">
        <f>IF(E9&lt;499999,500000,VLOOKUP(E9,B10:B33,1,TRUE))</f>
        <v>80000000</v>
      </c>
      <c r="F8" s="451" t="s">
        <v>901</v>
      </c>
      <c r="H8" s="442"/>
    </row>
    <row r="9" spans="2:8" ht="23.25" thickBot="1" thickTop="1">
      <c r="B9" s="452" t="s">
        <v>902</v>
      </c>
      <c r="C9" s="453"/>
      <c r="D9" s="454" t="s">
        <v>903</v>
      </c>
      <c r="E9" s="455">
        <f>'สรุป ปร.6'!H17</f>
        <v>85383945.28905682</v>
      </c>
      <c r="F9" s="436" t="s">
        <v>904</v>
      </c>
      <c r="H9" s="442"/>
    </row>
    <row r="10" spans="2:8" ht="22.5" thickTop="1">
      <c r="B10" s="456">
        <v>500000</v>
      </c>
      <c r="C10" s="457">
        <v>1.3074</v>
      </c>
      <c r="D10" s="458" t="s">
        <v>905</v>
      </c>
      <c r="E10" s="459">
        <f>IF(E9&gt;500000001,500000001,INDEX(B10:B33,MATCH(E8,B10:B33,0)+1,1))</f>
        <v>90000000</v>
      </c>
      <c r="F10" s="460" t="s">
        <v>906</v>
      </c>
      <c r="H10" s="442"/>
    </row>
    <row r="11" spans="2:8" ht="21.75">
      <c r="B11" s="456">
        <v>1000000</v>
      </c>
      <c r="C11" s="461">
        <v>1.305</v>
      </c>
      <c r="H11" s="442"/>
    </row>
    <row r="12" spans="2:8" ht="21.75">
      <c r="B12" s="456">
        <v>2000000</v>
      </c>
      <c r="C12" s="462">
        <v>1.3035</v>
      </c>
      <c r="D12" s="463" t="s">
        <v>907</v>
      </c>
      <c r="E12" s="464">
        <f>VLOOKUP(E8,$B$10:$C$33,2,FALSE)</f>
        <v>1.205</v>
      </c>
      <c r="F12" s="436" t="s">
        <v>908</v>
      </c>
      <c r="H12" s="442"/>
    </row>
    <row r="13" spans="2:8" ht="22.5" thickBot="1">
      <c r="B13" s="456">
        <v>5000000</v>
      </c>
      <c r="C13" s="462">
        <v>1.3003</v>
      </c>
      <c r="D13" s="463" t="s">
        <v>909</v>
      </c>
      <c r="E13" s="464">
        <f>VLOOKUP(E10,$B$10:$C$33,2,FALSE)</f>
        <v>1.2049</v>
      </c>
      <c r="F13" s="436" t="s">
        <v>910</v>
      </c>
      <c r="H13" s="442"/>
    </row>
    <row r="14" spans="2:8" ht="23.25" thickBot="1" thickTop="1">
      <c r="B14" s="456">
        <v>10000000</v>
      </c>
      <c r="C14" s="462">
        <v>1.2943</v>
      </c>
      <c r="D14" s="454" t="s">
        <v>898</v>
      </c>
      <c r="E14" s="465">
        <f>ROUND(E12-(((E12-E13)*(E9-E8))/(E10-E8)),4)</f>
        <v>1.2049</v>
      </c>
      <c r="F14" s="466" t="s">
        <v>911</v>
      </c>
      <c r="H14" s="442"/>
    </row>
    <row r="15" spans="2:8" ht="22.5" thickTop="1">
      <c r="B15" s="456">
        <v>15000000</v>
      </c>
      <c r="C15" s="462">
        <v>1.2594</v>
      </c>
      <c r="D15" s="463" t="s">
        <v>912</v>
      </c>
      <c r="E15" s="467">
        <f>E9*E14</f>
        <v>102879115.67878458</v>
      </c>
      <c r="F15" s="466"/>
      <c r="H15" s="442"/>
    </row>
    <row r="16" spans="2:8" ht="21.75">
      <c r="B16" s="456">
        <v>20000000</v>
      </c>
      <c r="C16" s="462">
        <v>1.2518</v>
      </c>
      <c r="H16" s="442"/>
    </row>
    <row r="17" spans="2:8" ht="21.75">
      <c r="B17" s="456">
        <v>25000000</v>
      </c>
      <c r="C17" s="462">
        <v>1.2248</v>
      </c>
      <c r="D17" s="653" t="s">
        <v>913</v>
      </c>
      <c r="E17" s="654"/>
      <c r="F17" s="654"/>
      <c r="G17" s="654"/>
      <c r="H17" s="655"/>
    </row>
    <row r="18" spans="2:8" ht="22.5" thickBot="1">
      <c r="B18" s="456">
        <v>30000000</v>
      </c>
      <c r="C18" s="462">
        <v>1.2164</v>
      </c>
      <c r="D18" s="468"/>
      <c r="E18" s="468"/>
      <c r="F18" s="468"/>
      <c r="G18" s="468"/>
      <c r="H18" s="469"/>
    </row>
    <row r="19" spans="2:3" ht="21.75">
      <c r="B19" s="456">
        <v>40000000</v>
      </c>
      <c r="C19" s="462">
        <v>1.2161</v>
      </c>
    </row>
    <row r="20" spans="2:5" ht="21.75">
      <c r="B20" s="456">
        <v>50000000</v>
      </c>
      <c r="C20" s="462">
        <v>1.2159</v>
      </c>
      <c r="E20" s="451" t="s">
        <v>209</v>
      </c>
    </row>
    <row r="21" spans="2:5" ht="21.75">
      <c r="B21" s="456">
        <v>60000000</v>
      </c>
      <c r="C21" s="462">
        <v>1.2061</v>
      </c>
      <c r="E21" s="436" t="s">
        <v>209</v>
      </c>
    </row>
    <row r="22" spans="2:5" ht="21.75">
      <c r="B22" s="456">
        <v>70000000</v>
      </c>
      <c r="C22" s="462">
        <v>1.205</v>
      </c>
      <c r="E22" s="436" t="s">
        <v>209</v>
      </c>
    </row>
    <row r="23" spans="2:6" ht="21.75">
      <c r="B23" s="456">
        <v>80000000</v>
      </c>
      <c r="C23" s="462">
        <v>1.205</v>
      </c>
      <c r="D23" s="470"/>
      <c r="E23" s="471" t="s">
        <v>209</v>
      </c>
      <c r="F23" s="466"/>
    </row>
    <row r="24" spans="2:5" ht="21.75">
      <c r="B24" s="456">
        <v>90000000</v>
      </c>
      <c r="C24" s="462">
        <v>1.2049</v>
      </c>
      <c r="E24" s="436" t="s">
        <v>209</v>
      </c>
    </row>
    <row r="25" spans="2:7" ht="21.75">
      <c r="B25" s="456">
        <v>100000000</v>
      </c>
      <c r="C25" s="462">
        <v>1.2049</v>
      </c>
      <c r="G25" s="466"/>
    </row>
    <row r="26" spans="2:3" ht="21.75">
      <c r="B26" s="456">
        <v>150000000</v>
      </c>
      <c r="C26" s="462">
        <v>1.2023</v>
      </c>
    </row>
    <row r="27" spans="2:7" ht="21.75">
      <c r="B27" s="456">
        <v>200000000</v>
      </c>
      <c r="C27" s="462">
        <v>1.2023</v>
      </c>
      <c r="G27" s="471" t="s">
        <v>209</v>
      </c>
    </row>
    <row r="28" spans="2:3" ht="21.75">
      <c r="B28" s="456">
        <v>250000000</v>
      </c>
      <c r="C28" s="462">
        <v>1.2013</v>
      </c>
    </row>
    <row r="29" spans="2:7" ht="21.75">
      <c r="B29" s="456">
        <v>300000000</v>
      </c>
      <c r="C29" s="462">
        <v>1.1951</v>
      </c>
      <c r="G29" s="466"/>
    </row>
    <row r="30" spans="2:3" ht="21.75">
      <c r="B30" s="456">
        <v>350000000</v>
      </c>
      <c r="C30" s="462">
        <v>1.1866</v>
      </c>
    </row>
    <row r="31" spans="2:7" ht="21.75">
      <c r="B31" s="456">
        <v>400000000</v>
      </c>
      <c r="C31" s="462">
        <v>1.1858</v>
      </c>
      <c r="G31" s="466"/>
    </row>
    <row r="32" spans="2:3" ht="21.75">
      <c r="B32" s="456">
        <v>500000000</v>
      </c>
      <c r="C32" s="462">
        <v>1.1853</v>
      </c>
    </row>
    <row r="33" spans="2:7" ht="21.75">
      <c r="B33" s="472">
        <v>500000001</v>
      </c>
      <c r="C33" s="462">
        <v>1.1788</v>
      </c>
      <c r="G33" s="466"/>
    </row>
  </sheetData>
  <sheetProtection/>
  <mergeCells count="6">
    <mergeCell ref="B1:C1"/>
    <mergeCell ref="B2:C2"/>
    <mergeCell ref="D2:H2"/>
    <mergeCell ref="D4:F4"/>
    <mergeCell ref="E6:F6"/>
    <mergeCell ref="D17:H17"/>
  </mergeCells>
  <printOptions/>
  <pageMargins left="0.18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H33"/>
  <sheetViews>
    <sheetView zoomScalePageLayoutView="0" workbookViewId="0" topLeftCell="A1">
      <selection activeCell="B20" sqref="B20"/>
    </sheetView>
  </sheetViews>
  <sheetFormatPr defaultColWidth="9.33203125" defaultRowHeight="17.25"/>
  <cols>
    <col min="1" max="1" width="2.66015625" style="436" customWidth="1"/>
    <col min="2" max="2" width="19.5" style="436" customWidth="1"/>
    <col min="3" max="3" width="17.83203125" style="436" customWidth="1"/>
    <col min="4" max="8" width="17.5" style="436" customWidth="1"/>
    <col min="9" max="9" width="18.33203125" style="437" customWidth="1"/>
    <col min="10" max="16384" width="9.33203125" style="437" customWidth="1"/>
  </cols>
  <sheetData>
    <row r="1" spans="2:3" ht="22.5" thickBot="1">
      <c r="B1" s="644"/>
      <c r="C1" s="644"/>
    </row>
    <row r="2" spans="2:8" ht="22.5" thickBot="1">
      <c r="B2" s="645" t="s">
        <v>892</v>
      </c>
      <c r="C2" s="646"/>
      <c r="D2" s="647" t="s">
        <v>893</v>
      </c>
      <c r="E2" s="648"/>
      <c r="F2" s="648"/>
      <c r="G2" s="648"/>
      <c r="H2" s="649"/>
    </row>
    <row r="3" spans="2:8" ht="21.75">
      <c r="B3" s="438" t="s">
        <v>894</v>
      </c>
      <c r="C3" s="439">
        <v>0.15</v>
      </c>
      <c r="D3" s="440" t="s">
        <v>895</v>
      </c>
      <c r="H3" s="441"/>
    </row>
    <row r="4" spans="2:8" ht="21.75">
      <c r="B4" s="438" t="s">
        <v>896</v>
      </c>
      <c r="C4" s="439">
        <v>0</v>
      </c>
      <c r="D4" s="650"/>
      <c r="E4" s="651"/>
      <c r="F4" s="651"/>
      <c r="H4" s="442"/>
    </row>
    <row r="5" spans="2:8" ht="21.75">
      <c r="B5" s="438" t="s">
        <v>204</v>
      </c>
      <c r="C5" s="443">
        <v>0.06</v>
      </c>
      <c r="H5" s="442"/>
    </row>
    <row r="6" spans="2:8" ht="21.75">
      <c r="B6" s="438" t="s">
        <v>897</v>
      </c>
      <c r="C6" s="439">
        <v>0.07</v>
      </c>
      <c r="D6" s="444" t="s">
        <v>898</v>
      </c>
      <c r="E6" s="652" t="s">
        <v>899</v>
      </c>
      <c r="F6" s="652"/>
      <c r="H6" s="442"/>
    </row>
    <row r="7" spans="2:8" ht="22.5" thickBot="1">
      <c r="B7" s="445"/>
      <c r="C7" s="446"/>
      <c r="H7" s="442"/>
    </row>
    <row r="8" spans="2:8" ht="23.25" thickBot="1" thickTop="1">
      <c r="B8" s="447" t="s">
        <v>205</v>
      </c>
      <c r="C8" s="448" t="s">
        <v>206</v>
      </c>
      <c r="D8" s="449" t="s">
        <v>900</v>
      </c>
      <c r="E8" s="450">
        <f>IF(E9&lt;499999,500000,VLOOKUP(E9,B10:B33,1,TRUE))</f>
        <v>80000000</v>
      </c>
      <c r="F8" s="451" t="s">
        <v>901</v>
      </c>
      <c r="H8" s="442"/>
    </row>
    <row r="9" spans="2:8" ht="23.25" thickBot="1" thickTop="1">
      <c r="B9" s="452" t="s">
        <v>902</v>
      </c>
      <c r="C9" s="453"/>
      <c r="D9" s="454" t="s">
        <v>903</v>
      </c>
      <c r="E9" s="455">
        <f>'สรุป ปร.6'!H17</f>
        <v>85383945.28905682</v>
      </c>
      <c r="F9" s="436" t="s">
        <v>904</v>
      </c>
      <c r="H9" s="442"/>
    </row>
    <row r="10" spans="2:8" ht="22.5" thickTop="1">
      <c r="B10" s="456">
        <v>500000</v>
      </c>
      <c r="C10" s="457">
        <v>1.3046</v>
      </c>
      <c r="D10" s="458" t="s">
        <v>905</v>
      </c>
      <c r="E10" s="459">
        <f>IF(E9&gt;500000001,500000001,INDEX(B10:B33,MATCH(E8,B10:B33,0)+1,1))</f>
        <v>90000000</v>
      </c>
      <c r="F10" s="460" t="s">
        <v>906</v>
      </c>
      <c r="H10" s="442"/>
    </row>
    <row r="11" spans="2:8" ht="21.75">
      <c r="B11" s="456">
        <v>1000000</v>
      </c>
      <c r="C11" s="461">
        <v>1.3018</v>
      </c>
      <c r="H11" s="442"/>
    </row>
    <row r="12" spans="2:8" ht="21.75">
      <c r="B12" s="456">
        <v>2000000</v>
      </c>
      <c r="C12" s="462">
        <v>1.2999</v>
      </c>
      <c r="D12" s="463" t="s">
        <v>907</v>
      </c>
      <c r="E12" s="464">
        <f>VLOOKUP(E8,$B$10:$C$33,2,FALSE)</f>
        <v>1.1966</v>
      </c>
      <c r="F12" s="436" t="s">
        <v>908</v>
      </c>
      <c r="H12" s="442"/>
    </row>
    <row r="13" spans="2:8" ht="22.5" thickBot="1">
      <c r="B13" s="456">
        <v>5000000</v>
      </c>
      <c r="C13" s="462">
        <v>1.2955</v>
      </c>
      <c r="D13" s="463" t="s">
        <v>909</v>
      </c>
      <c r="E13" s="464">
        <f>VLOOKUP(E10,$B$10:$C$33,2,FALSE)</f>
        <v>1.1961</v>
      </c>
      <c r="F13" s="436" t="s">
        <v>910</v>
      </c>
      <c r="H13" s="442"/>
    </row>
    <row r="14" spans="2:8" ht="23.25" thickBot="1" thickTop="1">
      <c r="B14" s="456">
        <v>10000000</v>
      </c>
      <c r="C14" s="462">
        <v>1.2879</v>
      </c>
      <c r="D14" s="454" t="s">
        <v>898</v>
      </c>
      <c r="E14" s="465">
        <f>ROUND(E12-(((E12-E13)*(E9-E8))/(E10-E8)),4)</f>
        <v>1.1963</v>
      </c>
      <c r="F14" s="466" t="s">
        <v>911</v>
      </c>
      <c r="H14" s="442"/>
    </row>
    <row r="15" spans="2:8" ht="22.5" thickTop="1">
      <c r="B15" s="456">
        <v>15000000</v>
      </c>
      <c r="C15" s="462">
        <v>1.253</v>
      </c>
      <c r="D15" s="463" t="s">
        <v>912</v>
      </c>
      <c r="E15" s="467">
        <f>E9*E14</f>
        <v>102144813.74929868</v>
      </c>
      <c r="F15" s="466"/>
      <c r="H15" s="442"/>
    </row>
    <row r="16" spans="2:8" ht="21.75">
      <c r="B16" s="456">
        <v>20000000</v>
      </c>
      <c r="C16" s="462">
        <v>1.245</v>
      </c>
      <c r="H16" s="442"/>
    </row>
    <row r="17" spans="2:8" ht="21.75">
      <c r="B17" s="456">
        <v>25000000</v>
      </c>
      <c r="C17" s="462">
        <v>1.218</v>
      </c>
      <c r="D17" s="653" t="s">
        <v>913</v>
      </c>
      <c r="E17" s="654"/>
      <c r="F17" s="654"/>
      <c r="G17" s="654"/>
      <c r="H17" s="655"/>
    </row>
    <row r="18" spans="2:8" ht="22.5" thickBot="1">
      <c r="B18" s="456">
        <v>30000000</v>
      </c>
      <c r="C18" s="462">
        <v>1.2092</v>
      </c>
      <c r="D18" s="468"/>
      <c r="E18" s="468"/>
      <c r="F18" s="468"/>
      <c r="G18" s="468"/>
      <c r="H18" s="469"/>
    </row>
    <row r="19" spans="2:3" ht="21.75">
      <c r="B19" s="456">
        <v>40000000</v>
      </c>
      <c r="C19" s="462">
        <v>1.2088</v>
      </c>
    </row>
    <row r="20" spans="2:5" ht="21.75">
      <c r="B20" s="456">
        <v>50000000</v>
      </c>
      <c r="C20" s="462">
        <v>1.2079</v>
      </c>
      <c r="E20" s="451" t="s">
        <v>209</v>
      </c>
    </row>
    <row r="21" spans="2:5" ht="21.75">
      <c r="B21" s="456">
        <v>60000000</v>
      </c>
      <c r="C21" s="462">
        <v>1.1981</v>
      </c>
      <c r="E21" s="436" t="s">
        <v>209</v>
      </c>
    </row>
    <row r="22" spans="2:5" ht="21.75">
      <c r="B22" s="456">
        <v>70000000</v>
      </c>
      <c r="C22" s="462">
        <v>1.1966</v>
      </c>
      <c r="E22" s="436" t="s">
        <v>209</v>
      </c>
    </row>
    <row r="23" spans="2:6" ht="21.75">
      <c r="B23" s="456">
        <v>80000000</v>
      </c>
      <c r="C23" s="462">
        <v>1.1966</v>
      </c>
      <c r="D23" s="470"/>
      <c r="E23" s="471" t="s">
        <v>209</v>
      </c>
      <c r="F23" s="466"/>
    </row>
    <row r="24" spans="2:5" ht="21.75">
      <c r="B24" s="456">
        <v>90000000</v>
      </c>
      <c r="C24" s="462">
        <v>1.1961</v>
      </c>
      <c r="E24" s="436" t="s">
        <v>209</v>
      </c>
    </row>
    <row r="25" spans="2:7" ht="21.75">
      <c r="B25" s="456">
        <v>100000000</v>
      </c>
      <c r="C25" s="462">
        <v>1.1961</v>
      </c>
      <c r="G25" s="466"/>
    </row>
    <row r="26" spans="2:3" ht="21.75">
      <c r="B26" s="456">
        <v>150000000</v>
      </c>
      <c r="C26" s="462">
        <v>1.1926</v>
      </c>
    </row>
    <row r="27" spans="2:7" ht="21.75">
      <c r="B27" s="456">
        <v>200000000</v>
      </c>
      <c r="C27" s="462">
        <v>1.1919</v>
      </c>
      <c r="G27" s="471" t="s">
        <v>209</v>
      </c>
    </row>
    <row r="28" spans="2:3" ht="21.75">
      <c r="B28" s="456">
        <v>250000000</v>
      </c>
      <c r="C28" s="462">
        <v>1.1893</v>
      </c>
    </row>
    <row r="29" spans="2:7" ht="21.75">
      <c r="B29" s="456">
        <v>300000000</v>
      </c>
      <c r="C29" s="462">
        <v>1.1823</v>
      </c>
      <c r="G29" s="466"/>
    </row>
    <row r="30" spans="2:3" ht="21.75">
      <c r="B30" s="456">
        <v>350000000</v>
      </c>
      <c r="C30" s="462">
        <v>1.1734</v>
      </c>
    </row>
    <row r="31" spans="2:7" ht="21.75">
      <c r="B31" s="456">
        <v>400000000</v>
      </c>
      <c r="C31" s="462">
        <v>1.1709</v>
      </c>
      <c r="G31" s="466"/>
    </row>
    <row r="32" spans="2:3" ht="21.75">
      <c r="B32" s="456">
        <v>500000000</v>
      </c>
      <c r="C32" s="462">
        <v>1.1696</v>
      </c>
    </row>
    <row r="33" spans="2:7" ht="21.75">
      <c r="B33" s="472">
        <v>500000001</v>
      </c>
      <c r="C33" s="462">
        <v>1.1624</v>
      </c>
      <c r="G33" s="466"/>
    </row>
  </sheetData>
  <sheetProtection/>
  <mergeCells count="6">
    <mergeCell ref="B1:C1"/>
    <mergeCell ref="B2:C2"/>
    <mergeCell ref="D2:H2"/>
    <mergeCell ref="D4:F4"/>
    <mergeCell ref="E6:F6"/>
    <mergeCell ref="D17:H17"/>
  </mergeCells>
  <printOptions/>
  <pageMargins left="0.18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P46"/>
  <sheetViews>
    <sheetView showGridLines="0" view="pageLayout" workbookViewId="0" topLeftCell="A13">
      <selection activeCell="L23" sqref="L23"/>
    </sheetView>
  </sheetViews>
  <sheetFormatPr defaultColWidth="9.16015625" defaultRowHeight="17.25"/>
  <cols>
    <col min="1" max="1" width="2.5" style="288" customWidth="1"/>
    <col min="2" max="2" width="6.66015625" style="288" customWidth="1"/>
    <col min="3" max="3" width="14.83203125" style="288" customWidth="1"/>
    <col min="4" max="4" width="13.83203125" style="288" customWidth="1"/>
    <col min="5" max="5" width="12.83203125" style="288" customWidth="1"/>
    <col min="6" max="6" width="11.83203125" style="288" customWidth="1"/>
    <col min="7" max="8" width="15.83203125" style="288" customWidth="1"/>
    <col min="9" max="10" width="14.83203125" style="288" customWidth="1"/>
    <col min="11" max="11" width="3.33203125" style="288" customWidth="1"/>
    <col min="12" max="12" width="16.66015625" style="288" customWidth="1"/>
    <col min="13" max="14" width="14" style="288" customWidth="1"/>
    <col min="15" max="16384" width="9.16015625" style="288" customWidth="1"/>
  </cols>
  <sheetData>
    <row r="1" ht="6.75" customHeight="1"/>
    <row r="2" spans="2:16" ht="36" customHeight="1">
      <c r="B2" s="657" t="s">
        <v>886</v>
      </c>
      <c r="C2" s="657"/>
      <c r="D2" s="657"/>
      <c r="E2" s="657"/>
      <c r="F2" s="657"/>
      <c r="G2" s="657"/>
      <c r="H2" s="657"/>
      <c r="I2" s="657"/>
      <c r="J2" s="657"/>
      <c r="L2" s="289" t="s">
        <v>209</v>
      </c>
      <c r="M2" s="155"/>
      <c r="N2" s="156"/>
      <c r="O2" s="157"/>
      <c r="P2" s="155"/>
    </row>
    <row r="3" spans="2:16" ht="25.5" customHeight="1">
      <c r="B3" s="290" t="s">
        <v>166</v>
      </c>
      <c r="C3" s="291"/>
      <c r="D3" s="291"/>
      <c r="E3" s="291"/>
      <c r="F3" s="184"/>
      <c r="G3" s="184"/>
      <c r="H3" s="184"/>
      <c r="I3" s="184"/>
      <c r="J3" s="184"/>
      <c r="M3" s="159"/>
      <c r="N3" s="156"/>
      <c r="O3" s="160"/>
      <c r="P3" s="158"/>
    </row>
    <row r="4" spans="2:16" ht="18.75">
      <c r="B4" s="292" t="s">
        <v>209</v>
      </c>
      <c r="C4" s="196" t="s">
        <v>216</v>
      </c>
      <c r="D4" s="196"/>
      <c r="E4" s="196" t="str">
        <f>'รายการ 9893'!D3</f>
        <v> อาคารผู้ป่วยนอก - อุบัติเหตุ</v>
      </c>
      <c r="F4" s="293"/>
      <c r="G4" s="293"/>
      <c r="H4" s="294"/>
      <c r="I4" s="295"/>
      <c r="J4" s="296"/>
      <c r="M4" s="161"/>
      <c r="N4" s="161"/>
      <c r="O4" s="482"/>
      <c r="P4" s="158"/>
    </row>
    <row r="5" spans="2:16" ht="18.75">
      <c r="B5" s="297" t="s">
        <v>209</v>
      </c>
      <c r="C5" s="298" t="s">
        <v>167</v>
      </c>
      <c r="D5" s="299"/>
      <c r="E5" s="299" t="str">
        <f>'รายการ 9893'!D4</f>
        <v> โรงพยาบาลสรรพสิทธิประสงค์ จ.อุบลราชธานี</v>
      </c>
      <c r="F5" s="300"/>
      <c r="G5" s="300"/>
      <c r="H5" s="301"/>
      <c r="I5" s="298"/>
      <c r="J5" s="302"/>
      <c r="M5" s="162"/>
      <c r="N5" s="162"/>
      <c r="O5" s="481"/>
      <c r="P5" s="158"/>
    </row>
    <row r="6" spans="2:16" ht="18.75">
      <c r="B6" s="297"/>
      <c r="C6" s="301" t="s">
        <v>168</v>
      </c>
      <c r="D6" s="303"/>
      <c r="E6" s="303"/>
      <c r="F6" s="300" t="s">
        <v>169</v>
      </c>
      <c r="G6" s="304"/>
      <c r="H6" s="300"/>
      <c r="I6" s="305"/>
      <c r="J6" s="306"/>
      <c r="P6" s="158"/>
    </row>
    <row r="7" spans="2:10" ht="18.75">
      <c r="B7" s="297"/>
      <c r="C7" s="298" t="s">
        <v>917</v>
      </c>
      <c r="D7" s="299"/>
      <c r="E7" s="307"/>
      <c r="F7" s="308"/>
      <c r="G7" s="309"/>
      <c r="H7" s="307" t="s">
        <v>211</v>
      </c>
      <c r="I7" s="310">
        <f>'รายการ 9893'!J5</f>
        <v>0</v>
      </c>
      <c r="J7" s="311" t="s">
        <v>212</v>
      </c>
    </row>
    <row r="8" spans="2:10" ht="18.75">
      <c r="B8" s="297"/>
      <c r="C8" s="301" t="s">
        <v>170</v>
      </c>
      <c r="D8" s="303"/>
      <c r="E8" s="312" t="s">
        <v>171</v>
      </c>
      <c r="F8" s="313">
        <v>21</v>
      </c>
      <c r="G8" s="300" t="s">
        <v>172</v>
      </c>
      <c r="H8" s="307" t="s">
        <v>173</v>
      </c>
      <c r="I8" s="314">
        <f>+'รายการ 9893'!J6</f>
        <v>0</v>
      </c>
      <c r="J8" s="311" t="s">
        <v>213</v>
      </c>
    </row>
    <row r="9" spans="2:10" ht="18.75">
      <c r="B9" s="297"/>
      <c r="C9" s="307" t="s">
        <v>151</v>
      </c>
      <c r="D9" s="303"/>
      <c r="E9" s="312"/>
      <c r="F9" s="315"/>
      <c r="G9" s="300"/>
      <c r="H9" s="307"/>
      <c r="I9" s="316" t="s">
        <v>890</v>
      </c>
      <c r="J9" s="311"/>
    </row>
    <row r="10" spans="2:10" ht="18.75">
      <c r="B10" s="297"/>
      <c r="C10" s="307" t="s">
        <v>891</v>
      </c>
      <c r="D10" s="303"/>
      <c r="E10" s="312"/>
      <c r="F10" s="315"/>
      <c r="G10" s="300"/>
      <c r="H10" s="307"/>
      <c r="I10" s="314"/>
      <c r="J10" s="311"/>
    </row>
    <row r="11" spans="2:11" ht="18.75">
      <c r="B11" s="317"/>
      <c r="C11" s="318" t="s">
        <v>939</v>
      </c>
      <c r="D11" s="319"/>
      <c r="E11" s="320"/>
      <c r="F11" s="318"/>
      <c r="G11" s="321"/>
      <c r="H11" s="322" t="s">
        <v>1034</v>
      </c>
      <c r="I11" s="323"/>
      <c r="J11" s="324"/>
      <c r="K11" s="325"/>
    </row>
    <row r="12" spans="2:11" ht="18.75">
      <c r="B12" s="473" t="s">
        <v>914</v>
      </c>
      <c r="C12" s="326"/>
      <c r="D12" s="327"/>
      <c r="E12" s="328"/>
      <c r="F12" s="329"/>
      <c r="G12" s="329"/>
      <c r="H12" s="330"/>
      <c r="I12" s="331"/>
      <c r="J12" s="332"/>
      <c r="K12" s="288" t="s">
        <v>209</v>
      </c>
    </row>
    <row r="13" spans="2:10" ht="18.75">
      <c r="B13" s="474" t="s">
        <v>940</v>
      </c>
      <c r="C13" s="333"/>
      <c r="D13" s="334"/>
      <c r="E13" s="335"/>
      <c r="F13" s="319"/>
      <c r="G13" s="319"/>
      <c r="H13" s="319"/>
      <c r="I13" s="335"/>
      <c r="J13" s="336"/>
    </row>
    <row r="14" spans="2:10" ht="7.5" customHeight="1">
      <c r="B14" s="317"/>
      <c r="C14" s="337"/>
      <c r="D14" s="338"/>
      <c r="E14" s="338"/>
      <c r="F14" s="339"/>
      <c r="G14" s="340"/>
      <c r="H14" s="318"/>
      <c r="I14" s="341"/>
      <c r="J14" s="332"/>
    </row>
    <row r="15" spans="2:10" ht="24.75" customHeight="1">
      <c r="B15" s="342" t="s">
        <v>174</v>
      </c>
      <c r="C15" s="343" t="s">
        <v>218</v>
      </c>
      <c r="D15" s="344"/>
      <c r="E15" s="344"/>
      <c r="F15" s="344"/>
      <c r="G15" s="658" t="s">
        <v>273</v>
      </c>
      <c r="H15" s="662"/>
      <c r="I15" s="663" t="s">
        <v>215</v>
      </c>
      <c r="J15" s="664"/>
    </row>
    <row r="16" spans="2:10" ht="22.5" customHeight="1">
      <c r="B16" s="345" t="s">
        <v>209</v>
      </c>
      <c r="C16" s="346"/>
      <c r="D16" s="318"/>
      <c r="E16" s="318"/>
      <c r="F16" s="318"/>
      <c r="G16" s="347" t="s">
        <v>175</v>
      </c>
      <c r="H16" s="347" t="s">
        <v>816</v>
      </c>
      <c r="I16" s="348" t="s">
        <v>209</v>
      </c>
      <c r="J16" s="349"/>
    </row>
    <row r="17" spans="2:12" ht="24" customHeight="1">
      <c r="B17" s="350">
        <v>1</v>
      </c>
      <c r="C17" s="351" t="s">
        <v>176</v>
      </c>
      <c r="D17" s="352"/>
      <c r="E17" s="353"/>
      <c r="F17" s="353"/>
      <c r="G17" s="354"/>
      <c r="H17" s="354">
        <f>สรุปหมวดงาน!F54</f>
        <v>85383945.28905682</v>
      </c>
      <c r="I17" s="355" t="s">
        <v>209</v>
      </c>
      <c r="J17" s="356"/>
      <c r="L17" s="435"/>
    </row>
    <row r="18" spans="2:12" ht="24" customHeight="1">
      <c r="B18" s="357"/>
      <c r="C18" s="358" t="s">
        <v>177</v>
      </c>
      <c r="D18" s="359"/>
      <c r="E18" s="360"/>
      <c r="F18" s="403">
        <f>'Factor F ล่วงหน้า 15%'!E14</f>
        <v>1.1963</v>
      </c>
      <c r="G18" s="361"/>
      <c r="H18" s="361">
        <f>H17*F18</f>
        <v>102144813.74929868</v>
      </c>
      <c r="I18" s="362"/>
      <c r="J18" s="363"/>
      <c r="L18" s="435"/>
    </row>
    <row r="19" spans="2:10" ht="24" customHeight="1">
      <c r="B19" s="350">
        <v>2</v>
      </c>
      <c r="C19" s="351" t="s">
        <v>178</v>
      </c>
      <c r="D19" s="352"/>
      <c r="E19" s="353"/>
      <c r="F19" s="353"/>
      <c r="G19" s="364"/>
      <c r="H19" s="364">
        <f>สรุปหมวดงาน!F61</f>
        <v>1304040</v>
      </c>
      <c r="I19" s="362"/>
      <c r="J19" s="363"/>
    </row>
    <row r="20" spans="2:10" ht="24" customHeight="1">
      <c r="B20" s="357"/>
      <c r="C20" s="358" t="s">
        <v>805</v>
      </c>
      <c r="D20" s="365"/>
      <c r="E20" s="366"/>
      <c r="F20" s="366" t="s">
        <v>179</v>
      </c>
      <c r="G20" s="361"/>
      <c r="H20" s="361">
        <f>H19*F20+(H19)</f>
        <v>1395322.8</v>
      </c>
      <c r="I20" s="362"/>
      <c r="J20" s="363"/>
    </row>
    <row r="21" spans="2:10" ht="24" customHeight="1">
      <c r="B21" s="347">
        <v>3</v>
      </c>
      <c r="C21" s="367" t="s">
        <v>180</v>
      </c>
      <c r="D21" s="365"/>
      <c r="E21" s="368"/>
      <c r="F21" s="368"/>
      <c r="G21" s="361"/>
      <c r="H21" s="361">
        <v>0</v>
      </c>
      <c r="I21" s="362"/>
      <c r="J21" s="363"/>
    </row>
    <row r="22" spans="2:10" ht="24" customHeight="1">
      <c r="B22" s="369"/>
      <c r="C22" s="300"/>
      <c r="D22" s="370"/>
      <c r="E22" s="370"/>
      <c r="F22" s="371"/>
      <c r="G22" s="364"/>
      <c r="H22" s="364"/>
      <c r="I22" s="372"/>
      <c r="J22" s="363"/>
    </row>
    <row r="23" spans="2:13" ht="24" customHeight="1" thickBot="1">
      <c r="B23" s="658" t="s">
        <v>181</v>
      </c>
      <c r="C23" s="659"/>
      <c r="D23" s="659"/>
      <c r="E23" s="659"/>
      <c r="F23" s="659"/>
      <c r="G23" s="373"/>
      <c r="H23" s="374">
        <f>H18+H20+H21</f>
        <v>103540136.54929867</v>
      </c>
      <c r="I23" s="375"/>
      <c r="J23" s="376"/>
      <c r="M23" s="483" t="s">
        <v>921</v>
      </c>
    </row>
    <row r="24" spans="2:14" ht="25.5" customHeight="1" thickBot="1" thickTop="1">
      <c r="B24" s="660" t="s">
        <v>182</v>
      </c>
      <c r="C24" s="661"/>
      <c r="D24" s="661"/>
      <c r="E24" s="661"/>
      <c r="F24" s="661"/>
      <c r="G24" s="377"/>
      <c r="H24" s="378">
        <f>(CEILING(INT(H23/50),2))*50</f>
        <v>103540100</v>
      </c>
      <c r="I24" s="379"/>
      <c r="J24" s="376" t="s">
        <v>209</v>
      </c>
      <c r="M24" s="484">
        <v>103540500</v>
      </c>
      <c r="N24" s="485">
        <f>M24*1.05</f>
        <v>108717525</v>
      </c>
    </row>
    <row r="25" spans="2:14" ht="25.5" customHeight="1" thickTop="1">
      <c r="B25" s="380"/>
      <c r="C25" s="346" t="s">
        <v>211</v>
      </c>
      <c r="D25" s="381">
        <f>I7</f>
        <v>0</v>
      </c>
      <c r="E25" s="382" t="s">
        <v>212</v>
      </c>
      <c r="F25" s="383" t="s">
        <v>183</v>
      </c>
      <c r="G25" s="384"/>
      <c r="H25" s="385">
        <f>'ปร-5 (ก)'!I26</f>
        <v>17711.235447374762</v>
      </c>
      <c r="I25" s="386" t="s">
        <v>184</v>
      </c>
      <c r="J25" s="376"/>
      <c r="L25" s="387">
        <f>M24-H24</f>
        <v>400</v>
      </c>
      <c r="M25" s="643">
        <f>(H24-M24)/M24</f>
        <v>-3.8632226037154545E-06</v>
      </c>
      <c r="N25" s="486">
        <f>N24-H24</f>
        <v>5177425</v>
      </c>
    </row>
    <row r="26" spans="1:15" s="410" customFormat="1" ht="10.5" customHeight="1">
      <c r="A26" s="404"/>
      <c r="B26" s="405"/>
      <c r="C26" s="406"/>
      <c r="D26" s="406"/>
      <c r="E26" s="407" t="s">
        <v>209</v>
      </c>
      <c r="F26" s="407" t="s">
        <v>209</v>
      </c>
      <c r="G26" s="180"/>
      <c r="H26" s="405"/>
      <c r="I26" s="408"/>
      <c r="J26" s="409"/>
      <c r="L26" s="411"/>
      <c r="M26" s="412"/>
      <c r="N26" s="412"/>
      <c r="O26" s="412"/>
    </row>
    <row r="27" spans="1:15" s="410" customFormat="1" ht="18.75" customHeight="1">
      <c r="A27" s="404"/>
      <c r="B27" s="487" t="s">
        <v>215</v>
      </c>
      <c r="C27" s="488"/>
      <c r="D27" s="489"/>
      <c r="E27" s="490"/>
      <c r="F27" s="491"/>
      <c r="G27" s="492"/>
      <c r="H27" s="492"/>
      <c r="I27" s="492"/>
      <c r="J27" s="492"/>
      <c r="K27" s="493"/>
      <c r="L27" s="411"/>
      <c r="M27" s="412"/>
      <c r="N27" s="412"/>
      <c r="O27" s="412"/>
    </row>
    <row r="28" spans="1:15" s="410" customFormat="1" ht="18.75" customHeight="1">
      <c r="A28" s="404"/>
      <c r="B28" s="494" t="s">
        <v>922</v>
      </c>
      <c r="C28" s="488"/>
      <c r="D28" s="489"/>
      <c r="E28" s="490"/>
      <c r="F28" s="491"/>
      <c r="G28" s="492"/>
      <c r="H28" s="492"/>
      <c r="I28" s="492"/>
      <c r="J28" s="492"/>
      <c r="K28" s="495"/>
      <c r="L28" s="411"/>
      <c r="M28" s="412"/>
      <c r="N28" s="412"/>
      <c r="O28" s="412"/>
    </row>
    <row r="29" spans="1:15" s="410" customFormat="1" ht="18.75" customHeight="1">
      <c r="A29" s="404"/>
      <c r="B29" s="494" t="s">
        <v>923</v>
      </c>
      <c r="C29" s="406"/>
      <c r="D29" s="406"/>
      <c r="E29" s="407"/>
      <c r="F29" s="407"/>
      <c r="G29" s="180"/>
      <c r="H29" s="405"/>
      <c r="I29" s="408"/>
      <c r="J29" s="496"/>
      <c r="K29" s="493"/>
      <c r="L29" s="411"/>
      <c r="M29" s="412"/>
      <c r="N29" s="412"/>
      <c r="O29" s="412"/>
    </row>
    <row r="30" spans="1:15" s="410" customFormat="1" ht="18.75" customHeight="1">
      <c r="A30" s="404"/>
      <c r="B30" s="494" t="s">
        <v>1031</v>
      </c>
      <c r="C30" s="406"/>
      <c r="D30" s="406"/>
      <c r="E30" s="406"/>
      <c r="F30" s="497"/>
      <c r="G30" s="180"/>
      <c r="H30" s="498"/>
      <c r="I30" s="408"/>
      <c r="J30" s="498"/>
      <c r="K30" s="493"/>
      <c r="L30" s="411"/>
      <c r="M30" s="412"/>
      <c r="N30" s="412"/>
      <c r="O30" s="412"/>
    </row>
    <row r="31" spans="1:15" s="410" customFormat="1" ht="18.75" customHeight="1">
      <c r="A31" s="404"/>
      <c r="B31" s="494" t="s">
        <v>1032</v>
      </c>
      <c r="C31" s="406"/>
      <c r="D31" s="406"/>
      <c r="E31" s="406"/>
      <c r="F31" s="497"/>
      <c r="G31" s="180"/>
      <c r="H31" s="498"/>
      <c r="I31" s="408"/>
      <c r="J31" s="498"/>
      <c r="K31" s="493"/>
      <c r="L31" s="411"/>
      <c r="M31" s="412"/>
      <c r="N31" s="412"/>
      <c r="O31" s="412"/>
    </row>
    <row r="32" spans="1:15" s="410" customFormat="1" ht="18.75" customHeight="1">
      <c r="A32" s="404"/>
      <c r="B32" s="180"/>
      <c r="C32" s="180"/>
      <c r="D32" s="180"/>
      <c r="E32" s="665" t="s">
        <v>924</v>
      </c>
      <c r="F32" s="665"/>
      <c r="G32" s="665"/>
      <c r="H32" s="408"/>
      <c r="I32" s="408"/>
      <c r="J32" s="180"/>
      <c r="K32" s="493"/>
      <c r="L32" s="411"/>
      <c r="M32" s="412"/>
      <c r="N32" s="412"/>
      <c r="O32" s="412"/>
    </row>
    <row r="33" spans="1:15" s="410" customFormat="1" ht="18.75" customHeight="1">
      <c r="A33" s="404"/>
      <c r="B33" s="180"/>
      <c r="C33" s="180"/>
      <c r="D33" s="180"/>
      <c r="E33" s="499" t="s">
        <v>925</v>
      </c>
      <c r="F33" s="499"/>
      <c r="G33" s="499"/>
      <c r="H33" s="499"/>
      <c r="I33" s="499"/>
      <c r="J33" s="499"/>
      <c r="K33" s="493"/>
      <c r="L33" s="411"/>
      <c r="M33" s="412"/>
      <c r="N33" s="412"/>
      <c r="O33" s="412"/>
    </row>
    <row r="34" spans="1:15" s="410" customFormat="1" ht="18.75" customHeight="1">
      <c r="A34" s="404"/>
      <c r="B34" s="500"/>
      <c r="C34" s="501"/>
      <c r="D34" s="502"/>
      <c r="E34" s="497"/>
      <c r="F34" s="180"/>
      <c r="G34" s="498"/>
      <c r="H34" s="408"/>
      <c r="I34" s="498"/>
      <c r="J34" s="180"/>
      <c r="K34" s="493"/>
      <c r="L34" s="411"/>
      <c r="M34" s="412"/>
      <c r="N34" s="412"/>
      <c r="O34" s="412"/>
    </row>
    <row r="35" spans="1:15" s="410" customFormat="1" ht="18.75" customHeight="1">
      <c r="A35" s="404"/>
      <c r="B35" s="503" t="s">
        <v>926</v>
      </c>
      <c r="C35" s="408"/>
      <c r="D35" s="493"/>
      <c r="E35" s="408" t="s">
        <v>927</v>
      </c>
      <c r="G35" s="503" t="s">
        <v>926</v>
      </c>
      <c r="H35" s="408"/>
      <c r="I35" s="408" t="s">
        <v>928</v>
      </c>
      <c r="J35" s="180"/>
      <c r="L35" s="411"/>
      <c r="M35" s="412"/>
      <c r="N35" s="412"/>
      <c r="O35" s="412"/>
    </row>
    <row r="36" spans="1:15" s="410" customFormat="1" ht="18.75" customHeight="1">
      <c r="A36" s="404"/>
      <c r="B36" s="656" t="s">
        <v>929</v>
      </c>
      <c r="C36" s="656"/>
      <c r="D36" s="656"/>
      <c r="E36" s="408" t="s">
        <v>930</v>
      </c>
      <c r="G36" s="656" t="s">
        <v>931</v>
      </c>
      <c r="H36" s="656"/>
      <c r="I36" s="408" t="s">
        <v>932</v>
      </c>
      <c r="J36" s="503"/>
      <c r="L36" s="411"/>
      <c r="M36" s="412"/>
      <c r="N36" s="412"/>
      <c r="O36" s="412"/>
    </row>
    <row r="37" spans="1:15" s="410" customFormat="1" ht="18.75" customHeight="1">
      <c r="A37" s="404"/>
      <c r="B37" s="504"/>
      <c r="C37" s="408"/>
      <c r="D37" s="505"/>
      <c r="E37" s="493"/>
      <c r="G37" s="505"/>
      <c r="H37" s="408"/>
      <c r="I37" s="408" t="s">
        <v>933</v>
      </c>
      <c r="J37" s="180"/>
      <c r="L37" s="411"/>
      <c r="M37" s="412"/>
      <c r="N37" s="412"/>
      <c r="O37" s="412"/>
    </row>
    <row r="38" spans="1:15" s="410" customFormat="1" ht="18.75" customHeight="1">
      <c r="A38" s="404"/>
      <c r="B38" s="503" t="s">
        <v>926</v>
      </c>
      <c r="C38" s="408"/>
      <c r="D38" s="408"/>
      <c r="E38" s="408" t="s">
        <v>928</v>
      </c>
      <c r="G38" s="503" t="s">
        <v>926</v>
      </c>
      <c r="H38" s="408"/>
      <c r="I38" s="408" t="s">
        <v>928</v>
      </c>
      <c r="J38" s="180"/>
      <c r="L38" s="411"/>
      <c r="M38" s="412"/>
      <c r="N38" s="412"/>
      <c r="O38" s="412"/>
    </row>
    <row r="39" spans="1:15" s="410" customFormat="1" ht="18.75" customHeight="1">
      <c r="A39" s="404"/>
      <c r="B39" s="656" t="s">
        <v>934</v>
      </c>
      <c r="C39" s="656"/>
      <c r="D39" s="656"/>
      <c r="E39" s="506" t="s">
        <v>935</v>
      </c>
      <c r="G39" s="656" t="s">
        <v>936</v>
      </c>
      <c r="H39" s="656"/>
      <c r="I39" s="506" t="s">
        <v>937</v>
      </c>
      <c r="J39" s="503"/>
      <c r="L39" s="411"/>
      <c r="M39" s="412"/>
      <c r="N39" s="412"/>
      <c r="O39" s="412"/>
    </row>
    <row r="40" spans="1:15" s="410" customFormat="1" ht="18.75" customHeight="1">
      <c r="A40" s="404"/>
      <c r="B40" s="404"/>
      <c r="C40" s="404"/>
      <c r="D40" s="493"/>
      <c r="E40" s="404"/>
      <c r="G40" s="504"/>
      <c r="H40" s="408"/>
      <c r="I40" s="505"/>
      <c r="J40" s="180"/>
      <c r="L40" s="411"/>
      <c r="M40" s="412"/>
      <c r="N40" s="412"/>
      <c r="O40" s="412"/>
    </row>
    <row r="41" spans="1:15" s="410" customFormat="1" ht="18.75" customHeight="1">
      <c r="A41" s="404"/>
      <c r="B41" s="503" t="s">
        <v>926</v>
      </c>
      <c r="C41" s="408"/>
      <c r="D41" s="493"/>
      <c r="E41" s="408" t="s">
        <v>928</v>
      </c>
      <c r="G41" s="503"/>
      <c r="H41" s="408"/>
      <c r="I41" s="408"/>
      <c r="J41" s="180"/>
      <c r="L41" s="411"/>
      <c r="M41" s="412"/>
      <c r="N41" s="412"/>
      <c r="O41" s="412"/>
    </row>
    <row r="42" spans="1:15" s="410" customFormat="1" ht="18.75" customHeight="1">
      <c r="A42" s="404"/>
      <c r="B42" s="656" t="s">
        <v>938</v>
      </c>
      <c r="C42" s="656"/>
      <c r="D42" s="656"/>
      <c r="E42" s="506" t="s">
        <v>937</v>
      </c>
      <c r="G42" s="656"/>
      <c r="H42" s="656"/>
      <c r="I42" s="506"/>
      <c r="J42" s="503"/>
      <c r="L42" s="411"/>
      <c r="M42" s="412"/>
      <c r="N42" s="412"/>
      <c r="O42" s="412"/>
    </row>
    <row r="43" spans="1:15" s="410" customFormat="1" ht="10.5" customHeight="1">
      <c r="A43" s="404"/>
      <c r="B43" s="405"/>
      <c r="C43" s="406"/>
      <c r="D43" s="406"/>
      <c r="E43" s="407"/>
      <c r="F43" s="407"/>
      <c r="G43" s="180"/>
      <c r="H43" s="405"/>
      <c r="I43" s="408"/>
      <c r="J43" s="409"/>
      <c r="L43" s="411"/>
      <c r="M43" s="412"/>
      <c r="N43" s="412"/>
      <c r="O43" s="412"/>
    </row>
    <row r="44" spans="2:10" s="413" customFormat="1" ht="22.5" customHeight="1">
      <c r="B44" s="414"/>
      <c r="C44" s="415" t="s">
        <v>215</v>
      </c>
      <c r="D44" s="416" t="s">
        <v>887</v>
      </c>
      <c r="E44" s="417"/>
      <c r="F44" s="418"/>
      <c r="G44" s="418"/>
      <c r="H44" s="419"/>
      <c r="I44" s="420"/>
      <c r="J44" s="421"/>
    </row>
    <row r="45" spans="2:10" s="413" customFormat="1" ht="22.5" customHeight="1">
      <c r="B45" s="422"/>
      <c r="C45" s="423"/>
      <c r="D45" s="424" t="s">
        <v>888</v>
      </c>
      <c r="E45" s="425"/>
      <c r="F45" s="423"/>
      <c r="G45" s="423"/>
      <c r="H45" s="426"/>
      <c r="I45" s="427"/>
      <c r="J45" s="421"/>
    </row>
    <row r="46" spans="2:10" s="413" customFormat="1" ht="22.5" customHeight="1">
      <c r="B46" s="428"/>
      <c r="C46" s="429"/>
      <c r="D46" s="430" t="s">
        <v>889</v>
      </c>
      <c r="E46" s="431"/>
      <c r="F46" s="432"/>
      <c r="G46" s="431"/>
      <c r="H46" s="430"/>
      <c r="I46" s="433"/>
      <c r="J46" s="434"/>
    </row>
    <row r="47" s="157" customFormat="1" ht="9.75" customHeight="1"/>
  </sheetData>
  <sheetProtection/>
  <mergeCells count="12">
    <mergeCell ref="B2:J2"/>
    <mergeCell ref="B23:F23"/>
    <mergeCell ref="B24:F24"/>
    <mergeCell ref="G15:H15"/>
    <mergeCell ref="I15:J15"/>
    <mergeCell ref="E32:G32"/>
    <mergeCell ref="B36:D36"/>
    <mergeCell ref="G36:H36"/>
    <mergeCell ref="B39:D39"/>
    <mergeCell ref="G39:H39"/>
    <mergeCell ref="B42:D42"/>
    <mergeCell ref="G42:H42"/>
  </mergeCells>
  <printOptions/>
  <pageMargins left="0.4724409448818898" right="0.15748031496062992" top="0.6299212598425197" bottom="0.4724409448818898" header="0.35433070866141736" footer="0.2362204724409449"/>
  <pageSetup horizontalDpi="300" verticalDpi="300" orientation="portrait" paperSize="9" scale="90" r:id="rId2"/>
  <headerFooter alignWithMargins="0">
    <oddHeader>&amp;R&amp;"AngsanaUPC,ธรรมดา"&amp;14แบบ ปร.6 (ปร.5ก+ปร.5ข)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55"/>
  <sheetViews>
    <sheetView view="pageLayout" zoomScaleSheetLayoutView="90" workbookViewId="0" topLeftCell="A1">
      <selection activeCell="I26" sqref="I26"/>
    </sheetView>
  </sheetViews>
  <sheetFormatPr defaultColWidth="9.33203125" defaultRowHeight="17.25"/>
  <cols>
    <col min="1" max="1" width="8.83203125" style="502" customWidth="1"/>
    <col min="2" max="2" width="19.16015625" style="502" customWidth="1"/>
    <col min="3" max="3" width="2.66015625" style="502" customWidth="1"/>
    <col min="4" max="4" width="3.16015625" style="502" customWidth="1"/>
    <col min="5" max="5" width="9.5" style="502" customWidth="1"/>
    <col min="6" max="6" width="6" style="502" customWidth="1"/>
    <col min="7" max="8" width="17.16015625" style="508" customWidth="1"/>
    <col min="9" max="9" width="18" style="508" customWidth="1"/>
    <col min="10" max="10" width="12.66015625" style="502" customWidth="1"/>
    <col min="11" max="11" width="28.83203125" style="502" customWidth="1"/>
    <col min="12" max="12" width="19.16015625" style="502" bestFit="1" customWidth="1"/>
    <col min="13" max="13" width="9.33203125" style="502" customWidth="1"/>
    <col min="14" max="14" width="10.83203125" style="502" bestFit="1" customWidth="1"/>
    <col min="15" max="16384" width="9.33203125" style="502" customWidth="1"/>
  </cols>
  <sheetData>
    <row r="1" spans="1:10" ht="21.75">
      <c r="A1" s="668" t="s">
        <v>941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4" ht="21.75">
      <c r="A2" s="502" t="s">
        <v>942</v>
      </c>
      <c r="C2" s="502" t="s">
        <v>943</v>
      </c>
      <c r="D2" s="507" t="str">
        <f>'สรุป ปร.6'!E4</f>
        <v> อาคารผู้ป่วยนอก - อุบัติเหตุ</v>
      </c>
    </row>
    <row r="3" spans="1:4" ht="21.75">
      <c r="A3" s="502" t="s">
        <v>944</v>
      </c>
      <c r="C3" s="502" t="s">
        <v>943</v>
      </c>
      <c r="D3" s="507" t="str">
        <f>'สรุป ปร.6'!E5</f>
        <v> โรงพยาบาลสรรพสิทธิประสงค์ จ.อุบลราชธานี</v>
      </c>
    </row>
    <row r="4" spans="1:4" ht="21.75">
      <c r="A4" s="502" t="s">
        <v>167</v>
      </c>
      <c r="C4" s="502" t="s">
        <v>943</v>
      </c>
      <c r="D4" s="507" t="str">
        <f>'สรุป ปร.6'!E5</f>
        <v> โรงพยาบาลสรรพสิทธิประสงค์ จ.อุบลราชธานี</v>
      </c>
    </row>
    <row r="5" spans="1:5" ht="21.75">
      <c r="A5" s="502" t="s">
        <v>945</v>
      </c>
      <c r="E5" s="502" t="s">
        <v>169</v>
      </c>
    </row>
    <row r="6" spans="1:13" ht="21.75">
      <c r="A6" s="509" t="s">
        <v>946</v>
      </c>
      <c r="C6" s="502" t="s">
        <v>943</v>
      </c>
      <c r="D6" s="510" t="str">
        <f>'สรุป ปร.6'!C7</f>
        <v>แบบเลขที่  9893 + อส. ข.620/ต.ค./58 + อส.ข.24/ก.พ./60</v>
      </c>
      <c r="K6" s="511"/>
      <c r="L6" s="512"/>
      <c r="M6" s="513"/>
    </row>
    <row r="7" spans="1:11" ht="21.75">
      <c r="A7" s="509" t="s">
        <v>947</v>
      </c>
      <c r="C7" s="502" t="s">
        <v>943</v>
      </c>
      <c r="D7" s="510" t="s">
        <v>970</v>
      </c>
      <c r="H7" s="514" t="str">
        <f>'สรุป ปร.6'!H11</f>
        <v>ปรับราคาเมื่อ    เดือน   กรกฎาคม  2560</v>
      </c>
      <c r="I7" s="515"/>
      <c r="J7" s="515"/>
      <c r="K7" s="513"/>
    </row>
    <row r="8" spans="4:11" ht="1.5" customHeight="1">
      <c r="D8" s="516"/>
      <c r="H8" s="514"/>
      <c r="I8" s="517"/>
      <c r="J8" s="511"/>
      <c r="K8" s="513"/>
    </row>
    <row r="9" spans="1:11" ht="21.75">
      <c r="A9" s="518" t="s">
        <v>948</v>
      </c>
      <c r="B9" s="519"/>
      <c r="C9" s="519"/>
      <c r="D9" s="520"/>
      <c r="E9" s="519" t="s">
        <v>949</v>
      </c>
      <c r="F9" s="519"/>
      <c r="G9" s="521"/>
      <c r="H9" s="521"/>
      <c r="I9" s="521"/>
      <c r="J9" s="522"/>
      <c r="K9" s="513"/>
    </row>
    <row r="10" spans="1:11" ht="21.75">
      <c r="A10" s="523"/>
      <c r="B10" s="524"/>
      <c r="C10" s="524"/>
      <c r="D10" s="525"/>
      <c r="E10" s="524" t="s">
        <v>950</v>
      </c>
      <c r="F10" s="524"/>
      <c r="G10" s="526"/>
      <c r="H10" s="526"/>
      <c r="I10" s="526"/>
      <c r="J10" s="527"/>
      <c r="K10" s="513"/>
    </row>
    <row r="11" spans="1:11" ht="22.5" thickBot="1">
      <c r="A11" s="523" t="s">
        <v>951</v>
      </c>
      <c r="B11" s="524"/>
      <c r="C11" s="524"/>
      <c r="E11" s="524" t="s">
        <v>952</v>
      </c>
      <c r="F11" s="524"/>
      <c r="G11" s="528">
        <f>'Factor F ล่วงหน้า 15%'!C3</f>
        <v>0.15</v>
      </c>
      <c r="H11" s="526" t="s">
        <v>953</v>
      </c>
      <c r="I11" s="528">
        <f>'Factor F ล่วงหน้า 15%'!C6</f>
        <v>0.07</v>
      </c>
      <c r="J11" s="527"/>
      <c r="K11" s="513"/>
    </row>
    <row r="12" spans="1:12" ht="21.75">
      <c r="A12" s="529"/>
      <c r="B12" s="530"/>
      <c r="C12" s="530"/>
      <c r="D12" s="530"/>
      <c r="E12" s="531" t="s">
        <v>954</v>
      </c>
      <c r="F12" s="530"/>
      <c r="G12" s="532">
        <f>'Factor F ล่วงหน้า 15%'!C5</f>
        <v>0.06</v>
      </c>
      <c r="H12" s="533" t="s">
        <v>955</v>
      </c>
      <c r="I12" s="534">
        <f>'Factor F ล่วงหน้า 15%'!C4</f>
        <v>0</v>
      </c>
      <c r="J12" s="535"/>
      <c r="K12" s="513"/>
      <c r="L12" s="669" t="s">
        <v>956</v>
      </c>
    </row>
    <row r="13" spans="1:12" ht="6" customHeight="1">
      <c r="A13" s="536"/>
      <c r="B13" s="524"/>
      <c r="C13" s="524"/>
      <c r="D13" s="524"/>
      <c r="E13" s="524"/>
      <c r="F13" s="524"/>
      <c r="G13" s="526"/>
      <c r="H13" s="526"/>
      <c r="I13" s="526"/>
      <c r="J13" s="524"/>
      <c r="K13" s="537"/>
      <c r="L13" s="670"/>
    </row>
    <row r="14" spans="1:12" ht="22.5" thickBot="1">
      <c r="A14" s="539" t="s">
        <v>214</v>
      </c>
      <c r="B14" s="671" t="s">
        <v>218</v>
      </c>
      <c r="C14" s="672"/>
      <c r="D14" s="672"/>
      <c r="E14" s="672"/>
      <c r="F14" s="673"/>
      <c r="G14" s="540" t="s">
        <v>205</v>
      </c>
      <c r="H14" s="541" t="s">
        <v>957</v>
      </c>
      <c r="I14" s="540" t="s">
        <v>958</v>
      </c>
      <c r="J14" s="522" t="s">
        <v>215</v>
      </c>
      <c r="L14" s="542" t="s">
        <v>959</v>
      </c>
    </row>
    <row r="15" spans="1:12" ht="21.75">
      <c r="A15" s="543"/>
      <c r="B15" s="544"/>
      <c r="C15" s="545"/>
      <c r="D15" s="545"/>
      <c r="E15" s="545"/>
      <c r="F15" s="546"/>
      <c r="G15" s="547" t="s">
        <v>902</v>
      </c>
      <c r="H15" s="548">
        <f>'Factor F ล่วงหน้า 15%'!E14</f>
        <v>1.1963</v>
      </c>
      <c r="I15" s="547"/>
      <c r="J15" s="535"/>
      <c r="L15" s="549">
        <f>1.5/100</f>
        <v>0.015</v>
      </c>
    </row>
    <row r="16" spans="1:11" ht="21.75">
      <c r="A16" s="539"/>
      <c r="B16" s="550" t="s">
        <v>960</v>
      </c>
      <c r="C16" s="551"/>
      <c r="D16" s="551"/>
      <c r="E16" s="551"/>
      <c r="F16" s="522"/>
      <c r="G16" s="552"/>
      <c r="H16" s="553"/>
      <c r="I16" s="554"/>
      <c r="J16" s="555"/>
      <c r="K16" s="556"/>
    </row>
    <row r="17" spans="1:11" ht="21.75">
      <c r="A17" s="557">
        <v>1</v>
      </c>
      <c r="B17" s="558" t="s">
        <v>961</v>
      </c>
      <c r="C17" s="524"/>
      <c r="D17" s="524"/>
      <c r="E17" s="551"/>
      <c r="F17" s="559"/>
      <c r="G17" s="627">
        <f>สรุปหมวดงาน!F39</f>
        <v>82908065.28905682</v>
      </c>
      <c r="H17" s="560">
        <f>H15</f>
        <v>1.1963</v>
      </c>
      <c r="I17" s="629">
        <f>G17*H17</f>
        <v>99182918.50529867</v>
      </c>
      <c r="J17" s="562"/>
      <c r="K17" s="563">
        <f>E18</f>
        <v>0</v>
      </c>
    </row>
    <row r="18" spans="1:13" ht="24.75" thickBot="1">
      <c r="A18" s="557">
        <v>2</v>
      </c>
      <c r="B18" s="558" t="s">
        <v>962</v>
      </c>
      <c r="C18" s="524"/>
      <c r="D18" s="564"/>
      <c r="E18" s="565"/>
      <c r="F18" s="559"/>
      <c r="G18" s="627">
        <f>สรุปหมวดงาน!F45</f>
        <v>2475880</v>
      </c>
      <c r="H18" s="560">
        <f>H17</f>
        <v>1.1963</v>
      </c>
      <c r="I18" s="629">
        <f>G18*H18</f>
        <v>2961895.244</v>
      </c>
      <c r="J18" s="562"/>
      <c r="K18" s="566">
        <f>ROUNDUP((SUM(L15:L17)),4)</f>
        <v>0.015</v>
      </c>
      <c r="M18" s="567"/>
    </row>
    <row r="19" spans="1:10" ht="21">
      <c r="A19" s="562">
        <v>3</v>
      </c>
      <c r="B19" s="558" t="s">
        <v>963</v>
      </c>
      <c r="C19" s="524"/>
      <c r="D19" s="524"/>
      <c r="E19" s="524"/>
      <c r="F19" s="568"/>
      <c r="G19" s="628">
        <f>สรุปหมวดงาน!F52</f>
        <v>0</v>
      </c>
      <c r="H19" s="560">
        <f>H17</f>
        <v>1.1963</v>
      </c>
      <c r="I19" s="629">
        <f>G19*H19</f>
        <v>0</v>
      </c>
      <c r="J19" s="569"/>
    </row>
    <row r="20" spans="1:10" ht="21">
      <c r="A20" s="562"/>
      <c r="B20" s="523"/>
      <c r="C20" s="524"/>
      <c r="D20" s="524"/>
      <c r="E20" s="524"/>
      <c r="F20" s="570"/>
      <c r="G20" s="559"/>
      <c r="H20" s="571"/>
      <c r="I20" s="630"/>
      <c r="J20" s="569"/>
    </row>
    <row r="21" spans="1:10" ht="21">
      <c r="A21" s="562"/>
      <c r="B21" s="523"/>
      <c r="C21" s="524"/>
      <c r="D21" s="524"/>
      <c r="E21" s="524"/>
      <c r="F21" s="570"/>
      <c r="G21" s="559"/>
      <c r="H21" s="571"/>
      <c r="I21" s="630"/>
      <c r="J21" s="569"/>
    </row>
    <row r="22" spans="1:10" ht="21">
      <c r="A22" s="562"/>
      <c r="B22" s="523"/>
      <c r="C22" s="524"/>
      <c r="D22" s="524"/>
      <c r="E22" s="524"/>
      <c r="F22" s="568"/>
      <c r="G22" s="559"/>
      <c r="H22" s="571"/>
      <c r="I22" s="630"/>
      <c r="J22" s="569"/>
    </row>
    <row r="23" spans="1:10" ht="5.25" customHeight="1">
      <c r="A23" s="562"/>
      <c r="B23" s="523"/>
      <c r="C23" s="524"/>
      <c r="D23" s="524"/>
      <c r="E23" s="524"/>
      <c r="F23" s="568"/>
      <c r="G23" s="559"/>
      <c r="H23" s="571"/>
      <c r="I23" s="630"/>
      <c r="J23" s="569"/>
    </row>
    <row r="24" spans="1:10" ht="21.75" customHeight="1">
      <c r="A24" s="572" t="s">
        <v>964</v>
      </c>
      <c r="B24" s="674" t="s">
        <v>965</v>
      </c>
      <c r="C24" s="675"/>
      <c r="D24" s="675"/>
      <c r="E24" s="675"/>
      <c r="F24" s="675"/>
      <c r="G24" s="675"/>
      <c r="H24" s="676"/>
      <c r="I24" s="631">
        <f>SUM(I17:I23)</f>
        <v>102144813.74929868</v>
      </c>
      <c r="J24" s="573"/>
    </row>
    <row r="25" spans="1:10" ht="21">
      <c r="A25" s="518" t="s">
        <v>966</v>
      </c>
      <c r="B25" s="519"/>
      <c r="C25" s="519"/>
      <c r="D25" s="519"/>
      <c r="E25" s="519"/>
      <c r="F25" s="574"/>
      <c r="G25" s="574"/>
      <c r="H25" s="574"/>
      <c r="I25" s="574"/>
      <c r="J25" s="575"/>
    </row>
    <row r="26" spans="1:10" s="584" customFormat="1" ht="21" customHeight="1">
      <c r="A26" s="576" t="s">
        <v>943</v>
      </c>
      <c r="B26" s="577" t="s">
        <v>967</v>
      </c>
      <c r="C26" s="578"/>
      <c r="D26" s="579"/>
      <c r="E26" s="580">
        <v>5600</v>
      </c>
      <c r="F26" s="578" t="s">
        <v>212</v>
      </c>
      <c r="G26" s="581" t="s">
        <v>968</v>
      </c>
      <c r="H26" s="581"/>
      <c r="I26" s="582">
        <f>I17/E26</f>
        <v>17711.235447374762</v>
      </c>
      <c r="J26" s="583" t="s">
        <v>969</v>
      </c>
    </row>
    <row r="27" spans="1:9" ht="7.5" customHeight="1">
      <c r="A27" s="513"/>
      <c r="B27" s="48"/>
      <c r="D27" s="585"/>
      <c r="E27" s="586"/>
      <c r="I27" s="587"/>
    </row>
    <row r="28" spans="7:11" ht="18.75">
      <c r="G28" s="666"/>
      <c r="H28" s="666"/>
      <c r="I28" s="666"/>
      <c r="J28" s="666"/>
      <c r="K28" s="588"/>
    </row>
    <row r="29" ht="7.5" customHeight="1"/>
    <row r="30" spans="1:14" ht="18.75">
      <c r="A30" s="666"/>
      <c r="B30" s="666"/>
      <c r="D30" s="589"/>
      <c r="E30" s="586"/>
      <c r="G30" s="677"/>
      <c r="H30" s="677"/>
      <c r="I30" s="677"/>
      <c r="J30" s="677"/>
      <c r="K30" s="590"/>
      <c r="N30" s="591"/>
    </row>
    <row r="31" spans="1:16" ht="18.75">
      <c r="A31" s="666"/>
      <c r="B31" s="666"/>
      <c r="I31" s="592"/>
      <c r="N31" s="593"/>
      <c r="O31" s="511"/>
      <c r="P31" s="511"/>
    </row>
    <row r="32" spans="1:16" ht="7.5" customHeight="1">
      <c r="A32" s="511"/>
      <c r="B32" s="511"/>
      <c r="N32" s="593"/>
      <c r="O32" s="593"/>
      <c r="P32" s="593"/>
    </row>
    <row r="33" spans="1:10" ht="18.75">
      <c r="A33" s="666"/>
      <c r="B33" s="666"/>
      <c r="D33" s="589"/>
      <c r="E33" s="586"/>
      <c r="H33" s="517"/>
      <c r="I33" s="517"/>
      <c r="J33" s="511"/>
    </row>
    <row r="34" spans="1:16" ht="18.75">
      <c r="A34" s="666"/>
      <c r="B34" s="666"/>
      <c r="H34" s="517"/>
      <c r="I34" s="517"/>
      <c r="J34" s="513"/>
      <c r="N34" s="511"/>
      <c r="O34" s="511"/>
      <c r="P34" s="511"/>
    </row>
    <row r="35" spans="1:16" ht="7.5" customHeight="1">
      <c r="A35" s="511"/>
      <c r="B35" s="511"/>
      <c r="I35" s="594"/>
      <c r="N35" s="593"/>
      <c r="O35" s="593"/>
      <c r="P35" s="593"/>
    </row>
    <row r="36" spans="1:10" ht="18.75">
      <c r="A36" s="666"/>
      <c r="B36" s="666"/>
      <c r="C36" s="511"/>
      <c r="D36" s="589"/>
      <c r="H36" s="517"/>
      <c r="I36" s="517"/>
      <c r="J36" s="511"/>
    </row>
    <row r="37" spans="1:16" ht="18.75">
      <c r="A37" s="666"/>
      <c r="B37" s="666"/>
      <c r="H37" s="517"/>
      <c r="I37" s="517"/>
      <c r="J37" s="593"/>
      <c r="N37" s="593"/>
      <c r="O37" s="593"/>
      <c r="P37" s="593"/>
    </row>
    <row r="38" spans="1:16" ht="7.5" customHeight="1">
      <c r="A38" s="511"/>
      <c r="B38" s="511"/>
      <c r="I38" s="594"/>
      <c r="N38" s="593"/>
      <c r="O38" s="593"/>
      <c r="P38" s="593"/>
    </row>
    <row r="39" spans="1:10" ht="18.75">
      <c r="A39" s="666"/>
      <c r="B39" s="666"/>
      <c r="C39" s="511"/>
      <c r="D39" s="589"/>
      <c r="H39" s="517"/>
      <c r="I39" s="517"/>
      <c r="J39" s="511"/>
    </row>
    <row r="40" spans="1:10" ht="18.75">
      <c r="A40" s="666"/>
      <c r="B40" s="666"/>
      <c r="C40" s="511"/>
      <c r="D40" s="593"/>
      <c r="H40" s="517"/>
      <c r="I40" s="517"/>
      <c r="J40" s="593"/>
    </row>
    <row r="41" spans="1:10" ht="9" customHeight="1">
      <c r="A41" s="511"/>
      <c r="B41" s="511"/>
      <c r="H41" s="517"/>
      <c r="I41" s="517"/>
      <c r="J41" s="511"/>
    </row>
    <row r="42" spans="1:10" ht="18.75">
      <c r="A42" s="666"/>
      <c r="B42" s="666"/>
      <c r="D42" s="589"/>
      <c r="H42" s="517"/>
      <c r="I42" s="517"/>
      <c r="J42" s="511"/>
    </row>
    <row r="43" spans="1:10" ht="18.75">
      <c r="A43" s="667"/>
      <c r="B43" s="667"/>
      <c r="D43" s="589"/>
      <c r="H43" s="517"/>
      <c r="I43" s="517"/>
      <c r="J43" s="593"/>
    </row>
    <row r="44" spans="7:9" ht="18.75">
      <c r="G44" s="517"/>
      <c r="I44" s="594"/>
    </row>
    <row r="45" spans="7:9" ht="18.75">
      <c r="G45" s="517"/>
      <c r="I45" s="594"/>
    </row>
    <row r="46" spans="7:9" ht="18.75">
      <c r="G46" s="595"/>
      <c r="I46" s="594"/>
    </row>
    <row r="47" spans="7:9" ht="18.75">
      <c r="G47" s="517"/>
      <c r="I47" s="594"/>
    </row>
    <row r="48" spans="7:9" ht="18.75">
      <c r="G48" s="517"/>
      <c r="I48" s="594"/>
    </row>
    <row r="50" spans="4:7" ht="18.75">
      <c r="D50" s="589"/>
      <c r="G50" s="517"/>
    </row>
    <row r="51" spans="7:9" ht="18.75">
      <c r="G51" s="595"/>
      <c r="I51" s="594"/>
    </row>
    <row r="52" spans="7:9" ht="18.75">
      <c r="G52" s="517"/>
      <c r="I52" s="594"/>
    </row>
    <row r="53" spans="7:9" ht="18.75">
      <c r="G53" s="517"/>
      <c r="I53" s="594"/>
    </row>
    <row r="54" spans="7:9" ht="18.75">
      <c r="G54" s="596"/>
      <c r="I54" s="594"/>
    </row>
    <row r="55" ht="18.75">
      <c r="D55" s="589"/>
    </row>
  </sheetData>
  <sheetProtection/>
  <mergeCells count="16">
    <mergeCell ref="A1:J1"/>
    <mergeCell ref="L12:L13"/>
    <mergeCell ref="B14:F14"/>
    <mergeCell ref="B24:H24"/>
    <mergeCell ref="G28:J28"/>
    <mergeCell ref="A30:B30"/>
    <mergeCell ref="G30:J30"/>
    <mergeCell ref="A40:B40"/>
    <mergeCell ref="A42:B42"/>
    <mergeCell ref="A43:B43"/>
    <mergeCell ref="A31:B31"/>
    <mergeCell ref="A33:B33"/>
    <mergeCell ref="A34:B34"/>
    <mergeCell ref="A36:B36"/>
    <mergeCell ref="A37:B37"/>
    <mergeCell ref="A39:B39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P54"/>
  <sheetViews>
    <sheetView view="pageLayout" zoomScale="80" zoomScalePageLayoutView="80" workbookViewId="0" topLeftCell="A1">
      <selection activeCell="I17" sqref="I17"/>
    </sheetView>
  </sheetViews>
  <sheetFormatPr defaultColWidth="9.33203125" defaultRowHeight="17.25"/>
  <cols>
    <col min="1" max="1" width="8.83203125" style="502" customWidth="1"/>
    <col min="2" max="2" width="19.16015625" style="502" customWidth="1"/>
    <col min="3" max="3" width="4.66015625" style="502" customWidth="1"/>
    <col min="4" max="5" width="10.33203125" style="502" customWidth="1"/>
    <col min="6" max="6" width="2.66015625" style="502" customWidth="1"/>
    <col min="7" max="7" width="14.66015625" style="632" customWidth="1"/>
    <col min="8" max="8" width="11.16015625" style="508" customWidth="1"/>
    <col min="9" max="9" width="15.33203125" style="508" customWidth="1"/>
    <col min="10" max="10" width="13.33203125" style="502" customWidth="1"/>
    <col min="11" max="11" width="12.16015625" style="502" customWidth="1"/>
    <col min="12" max="12" width="19.16015625" style="502" bestFit="1" customWidth="1"/>
    <col min="13" max="13" width="9.33203125" style="502" customWidth="1"/>
    <col min="14" max="14" width="10.83203125" style="502" bestFit="1" customWidth="1"/>
    <col min="15" max="16384" width="9.33203125" style="502" customWidth="1"/>
  </cols>
  <sheetData>
    <row r="1" spans="1:10" ht="21.75">
      <c r="A1" s="668" t="s">
        <v>941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4" ht="21.75">
      <c r="A2" s="502" t="s">
        <v>942</v>
      </c>
      <c r="C2" s="502" t="s">
        <v>943</v>
      </c>
      <c r="D2" s="507" t="str">
        <f>'สรุป ปร.6'!E4</f>
        <v> อาคารผู้ป่วยนอก - อุบัติเหตุ</v>
      </c>
    </row>
    <row r="3" spans="1:4" ht="21.75">
      <c r="A3" s="502" t="s">
        <v>944</v>
      </c>
      <c r="C3" s="502" t="s">
        <v>943</v>
      </c>
      <c r="D3" s="507" t="str">
        <f>'สรุป ปร.6'!E5</f>
        <v> โรงพยาบาลสรรพสิทธิประสงค์ จ.อุบลราชธานี</v>
      </c>
    </row>
    <row r="4" spans="1:4" ht="21.75">
      <c r="A4" s="502" t="s">
        <v>167</v>
      </c>
      <c r="C4" s="502" t="s">
        <v>943</v>
      </c>
      <c r="D4" s="507" t="str">
        <f>'สรุป ปร.6'!E5</f>
        <v> โรงพยาบาลสรรพสิทธิประสงค์ จ.อุบลราชธานี</v>
      </c>
    </row>
    <row r="5" spans="1:5" ht="21.75">
      <c r="A5" s="502" t="s">
        <v>945</v>
      </c>
      <c r="E5" s="502" t="str">
        <f>'ปร-5 (ก)'!E5</f>
        <v>กองแบบแผน  กรมสนับสนุนบริการสุขภาพ</v>
      </c>
    </row>
    <row r="6" spans="1:13" ht="21.75">
      <c r="A6" s="509" t="s">
        <v>946</v>
      </c>
      <c r="C6" s="502" t="s">
        <v>943</v>
      </c>
      <c r="D6" s="507" t="str">
        <f>'ปร-5 (ก)'!D6</f>
        <v>แบบเลขที่  9893 + อส. ข.620/ต.ค./58 + อส.ข.24/ก.พ./60</v>
      </c>
      <c r="K6" s="511"/>
      <c r="L6" s="512"/>
      <c r="M6" s="513"/>
    </row>
    <row r="7" spans="1:11" ht="21.75">
      <c r="A7" s="509" t="s">
        <v>947</v>
      </c>
      <c r="C7" s="502" t="s">
        <v>943</v>
      </c>
      <c r="D7" s="507" t="s">
        <v>970</v>
      </c>
      <c r="H7" s="514" t="str">
        <f>'ปร-5 (ก)'!H7</f>
        <v>ปรับราคาเมื่อ    เดือน   กรกฎาคม  2560</v>
      </c>
      <c r="I7" s="597"/>
      <c r="J7" s="597"/>
      <c r="K7" s="513"/>
    </row>
    <row r="8" spans="4:11" ht="1.5" customHeight="1">
      <c r="D8" s="516"/>
      <c r="H8" s="514"/>
      <c r="I8" s="517"/>
      <c r="J8" s="511"/>
      <c r="K8" s="513"/>
    </row>
    <row r="9" spans="1:12" ht="6" customHeight="1">
      <c r="A9" s="530"/>
      <c r="B9" s="524"/>
      <c r="C9" s="524"/>
      <c r="D9" s="524"/>
      <c r="E9" s="524"/>
      <c r="F9" s="524"/>
      <c r="G9" s="633"/>
      <c r="H9" s="526"/>
      <c r="I9" s="526"/>
      <c r="J9" s="524"/>
      <c r="K9" s="537"/>
      <c r="L9" s="538"/>
    </row>
    <row r="10" spans="1:12" ht="22.5" thickBot="1">
      <c r="A10" s="539" t="s">
        <v>214</v>
      </c>
      <c r="B10" s="671" t="s">
        <v>218</v>
      </c>
      <c r="C10" s="672"/>
      <c r="D10" s="672"/>
      <c r="E10" s="672"/>
      <c r="F10" s="673"/>
      <c r="G10" s="634" t="s">
        <v>205</v>
      </c>
      <c r="H10" s="541" t="s">
        <v>971</v>
      </c>
      <c r="I10" s="540" t="s">
        <v>958</v>
      </c>
      <c r="J10" s="522" t="s">
        <v>215</v>
      </c>
      <c r="L10" s="542" t="s">
        <v>959</v>
      </c>
    </row>
    <row r="11" spans="1:12" ht="21.75">
      <c r="A11" s="543"/>
      <c r="B11" s="544"/>
      <c r="C11" s="545"/>
      <c r="D11" s="545"/>
      <c r="E11" s="545"/>
      <c r="F11" s="546"/>
      <c r="G11" s="635" t="s">
        <v>902</v>
      </c>
      <c r="H11" s="548" t="s">
        <v>972</v>
      </c>
      <c r="I11" s="547"/>
      <c r="J11" s="535"/>
      <c r="L11" s="549">
        <f>1.5/100</f>
        <v>0.015</v>
      </c>
    </row>
    <row r="12" spans="1:11" s="524" customFormat="1" ht="21.75">
      <c r="A12" s="562"/>
      <c r="B12" s="598" t="s">
        <v>973</v>
      </c>
      <c r="C12" s="551"/>
      <c r="D12" s="551"/>
      <c r="E12" s="551"/>
      <c r="F12" s="522"/>
      <c r="G12" s="636"/>
      <c r="H12" s="553"/>
      <c r="I12" s="554"/>
      <c r="J12" s="555"/>
      <c r="K12" s="599"/>
    </row>
    <row r="13" spans="1:11" s="524" customFormat="1" ht="21.75">
      <c r="A13" s="557"/>
      <c r="B13" s="600" t="s">
        <v>974</v>
      </c>
      <c r="E13" s="551"/>
      <c r="F13" s="559"/>
      <c r="G13" s="637"/>
      <c r="H13" s="601"/>
      <c r="I13" s="561"/>
      <c r="J13" s="562"/>
      <c r="K13" s="602">
        <f>E14</f>
        <v>0</v>
      </c>
    </row>
    <row r="14" spans="1:13" s="524" customFormat="1" ht="24.75" thickBot="1">
      <c r="A14" s="557">
        <v>1</v>
      </c>
      <c r="B14" s="600" t="s">
        <v>962</v>
      </c>
      <c r="D14" s="564"/>
      <c r="E14" s="565"/>
      <c r="F14" s="559"/>
      <c r="G14" s="637">
        <f>สรุปหมวดงาน!F61</f>
        <v>1304040</v>
      </c>
      <c r="H14" s="601">
        <v>0.07</v>
      </c>
      <c r="I14" s="629">
        <f>G14*(1+H14)</f>
        <v>1395322.8</v>
      </c>
      <c r="J14" s="569"/>
      <c r="K14" s="603">
        <f>ROUNDUP((SUM(L11:L13)),4)</f>
        <v>0.015</v>
      </c>
      <c r="M14" s="604"/>
    </row>
    <row r="15" spans="1:10" ht="24">
      <c r="A15" s="543"/>
      <c r="B15" s="605"/>
      <c r="C15" s="530"/>
      <c r="D15" s="530"/>
      <c r="E15" s="530"/>
      <c r="F15" s="606"/>
      <c r="G15" s="638"/>
      <c r="H15" s="607"/>
      <c r="I15" s="642"/>
      <c r="J15" s="569"/>
    </row>
    <row r="16" spans="1:10" ht="21.75" customHeight="1">
      <c r="A16" s="572" t="s">
        <v>964</v>
      </c>
      <c r="B16" s="674" t="s">
        <v>965</v>
      </c>
      <c r="C16" s="675"/>
      <c r="D16" s="675"/>
      <c r="E16" s="675"/>
      <c r="F16" s="675"/>
      <c r="G16" s="675"/>
      <c r="H16" s="676"/>
      <c r="I16" s="631">
        <f>SUM(I14:I15)</f>
        <v>1395322.8</v>
      </c>
      <c r="J16" s="573"/>
    </row>
    <row r="17" spans="1:11" s="524" customFormat="1" ht="21.75">
      <c r="A17" s="562"/>
      <c r="B17" s="598" t="s">
        <v>975</v>
      </c>
      <c r="C17" s="551"/>
      <c r="D17" s="551"/>
      <c r="E17" s="551"/>
      <c r="F17" s="527"/>
      <c r="G17" s="636"/>
      <c r="H17" s="608"/>
      <c r="I17" s="630"/>
      <c r="J17" s="609"/>
      <c r="K17" s="599"/>
    </row>
    <row r="18" spans="1:11" s="524" customFormat="1" ht="21.75">
      <c r="A18" s="557"/>
      <c r="B18" s="600" t="s">
        <v>976</v>
      </c>
      <c r="E18" s="551"/>
      <c r="F18" s="559"/>
      <c r="G18" s="637"/>
      <c r="H18" s="601"/>
      <c r="I18" s="629"/>
      <c r="J18" s="562"/>
      <c r="K18" s="602">
        <f>E21</f>
        <v>0</v>
      </c>
    </row>
    <row r="19" spans="1:11" s="524" customFormat="1" ht="21.75">
      <c r="A19" s="557">
        <v>1</v>
      </c>
      <c r="B19" s="610" t="s">
        <v>1033</v>
      </c>
      <c r="D19" s="564"/>
      <c r="E19" s="565"/>
      <c r="F19" s="559"/>
      <c r="G19" s="637">
        <f>สรุปหมวดงาน!F67</f>
        <v>0</v>
      </c>
      <c r="H19" s="601" t="s">
        <v>977</v>
      </c>
      <c r="I19" s="629">
        <f>G19</f>
        <v>0</v>
      </c>
      <c r="J19" s="562" t="s">
        <v>978</v>
      </c>
      <c r="K19" s="602"/>
    </row>
    <row r="20" spans="1:11" s="524" customFormat="1" ht="21.75">
      <c r="A20" s="557"/>
      <c r="B20" s="600"/>
      <c r="D20" s="564"/>
      <c r="E20" s="565"/>
      <c r="F20" s="559"/>
      <c r="G20" s="637"/>
      <c r="H20" s="601"/>
      <c r="I20" s="629"/>
      <c r="J20" s="562" t="s">
        <v>979</v>
      </c>
      <c r="K20" s="602"/>
    </row>
    <row r="21" spans="1:13" s="524" customFormat="1" ht="21.75" thickBot="1">
      <c r="A21" s="557"/>
      <c r="B21" s="600"/>
      <c r="D21" s="564"/>
      <c r="E21" s="565"/>
      <c r="F21" s="559"/>
      <c r="G21" s="637"/>
      <c r="H21" s="601"/>
      <c r="I21" s="629"/>
      <c r="J21" s="569"/>
      <c r="K21" s="603">
        <f>ROUNDUP((SUM(L15:L18)),4)</f>
        <v>0</v>
      </c>
      <c r="M21" s="604"/>
    </row>
    <row r="22" spans="1:10" ht="21">
      <c r="A22" s="557"/>
      <c r="B22" s="600"/>
      <c r="C22" s="524"/>
      <c r="D22" s="564"/>
      <c r="E22" s="565"/>
      <c r="F22" s="559"/>
      <c r="G22" s="637"/>
      <c r="H22" s="601"/>
      <c r="I22" s="629"/>
      <c r="J22" s="569"/>
    </row>
    <row r="23" spans="1:10" ht="21">
      <c r="A23" s="562"/>
      <c r="B23" s="523"/>
      <c r="C23" s="524"/>
      <c r="D23" s="524"/>
      <c r="E23" s="524"/>
      <c r="F23" s="570"/>
      <c r="G23" s="628"/>
      <c r="H23" s="571"/>
      <c r="I23" s="630"/>
      <c r="J23" s="569"/>
    </row>
    <row r="24" spans="1:10" ht="21.75" customHeight="1">
      <c r="A24" s="572" t="s">
        <v>964</v>
      </c>
      <c r="B24" s="674" t="s">
        <v>965</v>
      </c>
      <c r="C24" s="675"/>
      <c r="D24" s="675"/>
      <c r="E24" s="675"/>
      <c r="F24" s="675"/>
      <c r="G24" s="675"/>
      <c r="H24" s="676"/>
      <c r="I24" s="631">
        <f>SUM(I19:I23)</f>
        <v>0</v>
      </c>
      <c r="J24" s="573"/>
    </row>
    <row r="25" spans="1:10" ht="21">
      <c r="A25" s="524"/>
      <c r="B25" s="524"/>
      <c r="C25" s="524"/>
      <c r="D25" s="524"/>
      <c r="E25" s="524"/>
      <c r="F25" s="611"/>
      <c r="G25" s="611"/>
      <c r="H25" s="611"/>
      <c r="I25" s="611"/>
      <c r="J25" s="525"/>
    </row>
    <row r="26" spans="1:10" ht="21">
      <c r="A26" s="524"/>
      <c r="B26" s="524"/>
      <c r="C26" s="524"/>
      <c r="D26" s="524"/>
      <c r="E26" s="524"/>
      <c r="F26" s="611"/>
      <c r="G26" s="611"/>
      <c r="H26" s="611"/>
      <c r="I26" s="611"/>
      <c r="J26" s="525"/>
    </row>
    <row r="27" spans="6:10" ht="18.75">
      <c r="F27" s="666"/>
      <c r="G27" s="666"/>
      <c r="H27" s="666"/>
      <c r="I27" s="666"/>
      <c r="J27" s="666"/>
    </row>
    <row r="28" spans="6:9" ht="7.5" customHeight="1">
      <c r="F28" s="508"/>
      <c r="I28" s="502"/>
    </row>
    <row r="29" spans="1:14" ht="18.75">
      <c r="A29" s="666"/>
      <c r="B29" s="666"/>
      <c r="D29" s="589"/>
      <c r="E29" s="586"/>
      <c r="F29" s="677"/>
      <c r="G29" s="677"/>
      <c r="H29" s="677"/>
      <c r="I29" s="677"/>
      <c r="J29" s="677"/>
      <c r="N29" s="591"/>
    </row>
    <row r="30" spans="1:16" ht="18.75">
      <c r="A30" s="666"/>
      <c r="B30" s="666"/>
      <c r="F30" s="508"/>
      <c r="H30" s="592"/>
      <c r="I30" s="502"/>
      <c r="N30" s="593"/>
      <c r="O30" s="511"/>
      <c r="P30" s="511"/>
    </row>
    <row r="31" spans="1:16" ht="7.5" customHeight="1">
      <c r="A31" s="511"/>
      <c r="B31" s="511"/>
      <c r="F31" s="508"/>
      <c r="I31" s="502"/>
      <c r="N31" s="593"/>
      <c r="O31" s="593"/>
      <c r="P31" s="593"/>
    </row>
    <row r="32" spans="1:9" ht="18.75">
      <c r="A32" s="666"/>
      <c r="B32" s="666"/>
      <c r="D32" s="589"/>
      <c r="E32" s="586"/>
      <c r="F32" s="508"/>
      <c r="G32" s="639"/>
      <c r="H32" s="517"/>
      <c r="I32" s="511"/>
    </row>
    <row r="33" spans="1:16" ht="18.75">
      <c r="A33" s="666"/>
      <c r="B33" s="666"/>
      <c r="F33" s="508"/>
      <c r="G33" s="678"/>
      <c r="H33" s="678"/>
      <c r="J33" s="513"/>
      <c r="N33" s="511"/>
      <c r="O33" s="511"/>
      <c r="P33" s="511"/>
    </row>
    <row r="34" spans="1:16" ht="7.5" customHeight="1">
      <c r="A34" s="511"/>
      <c r="B34" s="511"/>
      <c r="F34" s="508"/>
      <c r="H34" s="594"/>
      <c r="I34" s="502"/>
      <c r="N34" s="593"/>
      <c r="O34" s="593"/>
      <c r="P34" s="593"/>
    </row>
    <row r="35" spans="1:9" ht="18.75">
      <c r="A35" s="666"/>
      <c r="B35" s="666"/>
      <c r="C35" s="511"/>
      <c r="D35" s="589"/>
      <c r="F35" s="508"/>
      <c r="G35" s="639"/>
      <c r="H35" s="517"/>
      <c r="I35" s="511"/>
    </row>
    <row r="36" spans="1:16" ht="18.75">
      <c r="A36" s="666"/>
      <c r="B36" s="666"/>
      <c r="F36" s="508"/>
      <c r="G36" s="639"/>
      <c r="H36" s="517"/>
      <c r="I36" s="593"/>
      <c r="N36" s="593"/>
      <c r="O36" s="593"/>
      <c r="P36" s="593"/>
    </row>
    <row r="37" spans="1:16" ht="7.5" customHeight="1">
      <c r="A37" s="511"/>
      <c r="B37" s="511"/>
      <c r="F37" s="508"/>
      <c r="H37" s="594"/>
      <c r="I37" s="502"/>
      <c r="N37" s="593"/>
      <c r="O37" s="593"/>
      <c r="P37" s="593"/>
    </row>
    <row r="38" spans="1:9" ht="18.75">
      <c r="A38" s="666"/>
      <c r="B38" s="666"/>
      <c r="C38" s="511"/>
      <c r="D38" s="589"/>
      <c r="F38" s="508"/>
      <c r="G38" s="639"/>
      <c r="H38" s="517"/>
      <c r="I38" s="511"/>
    </row>
    <row r="39" spans="1:9" ht="18.75">
      <c r="A39" s="666"/>
      <c r="B39" s="666"/>
      <c r="C39" s="511"/>
      <c r="D39" s="593"/>
      <c r="F39" s="508"/>
      <c r="G39" s="639"/>
      <c r="H39" s="517"/>
      <c r="I39" s="593"/>
    </row>
    <row r="40" spans="1:9" ht="9" customHeight="1">
      <c r="A40" s="511"/>
      <c r="B40" s="511"/>
      <c r="F40" s="508"/>
      <c r="G40" s="639"/>
      <c r="H40" s="517"/>
      <c r="I40" s="511"/>
    </row>
    <row r="41" spans="1:9" ht="18.75">
      <c r="A41" s="666"/>
      <c r="B41" s="666"/>
      <c r="D41" s="589"/>
      <c r="F41" s="508"/>
      <c r="G41" s="639"/>
      <c r="H41" s="517"/>
      <c r="I41" s="511"/>
    </row>
    <row r="42" spans="1:9" ht="18.75">
      <c r="A42" s="667"/>
      <c r="B42" s="667"/>
      <c r="D42" s="589"/>
      <c r="F42" s="508"/>
      <c r="G42" s="639"/>
      <c r="H42" s="517"/>
      <c r="I42" s="593"/>
    </row>
    <row r="43" spans="7:9" ht="18.75">
      <c r="G43" s="639"/>
      <c r="I43" s="594"/>
    </row>
    <row r="44" spans="7:9" ht="18.75">
      <c r="G44" s="639"/>
      <c r="I44" s="594"/>
    </row>
    <row r="45" spans="7:9" ht="18.75">
      <c r="G45" s="640"/>
      <c r="I45" s="594"/>
    </row>
    <row r="46" spans="7:9" ht="18.75">
      <c r="G46" s="639"/>
      <c r="I46" s="594"/>
    </row>
    <row r="47" spans="7:9" ht="18.75">
      <c r="G47" s="639"/>
      <c r="I47" s="594"/>
    </row>
    <row r="49" spans="4:7" ht="18.75">
      <c r="D49" s="589"/>
      <c r="G49" s="639"/>
    </row>
    <row r="50" spans="7:9" ht="18.75">
      <c r="G50" s="640"/>
      <c r="I50" s="594"/>
    </row>
    <row r="51" spans="7:9" ht="18.75">
      <c r="G51" s="639"/>
      <c r="I51" s="594"/>
    </row>
    <row r="52" spans="7:9" ht="18.75">
      <c r="G52" s="639"/>
      <c r="I52" s="594"/>
    </row>
    <row r="53" spans="7:9" ht="18.75">
      <c r="G53" s="641"/>
      <c r="I53" s="594"/>
    </row>
    <row r="54" ht="18.75">
      <c r="D54" s="589"/>
    </row>
  </sheetData>
  <sheetProtection/>
  <mergeCells count="17">
    <mergeCell ref="G33:H33"/>
    <mergeCell ref="A35:B35"/>
    <mergeCell ref="A36:B36"/>
    <mergeCell ref="A1:J1"/>
    <mergeCell ref="B10:F10"/>
    <mergeCell ref="B16:H16"/>
    <mergeCell ref="B24:H24"/>
    <mergeCell ref="F27:J27"/>
    <mergeCell ref="A29:B29"/>
    <mergeCell ref="F29:J29"/>
    <mergeCell ref="A38:B38"/>
    <mergeCell ref="A39:B39"/>
    <mergeCell ref="A41:B41"/>
    <mergeCell ref="A42:B42"/>
    <mergeCell ref="A30:B30"/>
    <mergeCell ref="A32:B32"/>
    <mergeCell ref="A33:B3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1:I73"/>
  <sheetViews>
    <sheetView showGridLines="0" view="pageLayout" workbookViewId="0" topLeftCell="A49">
      <selection activeCell="I63" sqref="I63"/>
    </sheetView>
  </sheetViews>
  <sheetFormatPr defaultColWidth="9.16015625" defaultRowHeight="17.25"/>
  <cols>
    <col min="1" max="1" width="2.5" style="184" customWidth="1"/>
    <col min="2" max="2" width="6.16015625" style="184" customWidth="1"/>
    <col min="3" max="3" width="9" style="184" customWidth="1"/>
    <col min="4" max="4" width="56.66015625" style="184" customWidth="1"/>
    <col min="5" max="5" width="13.5" style="184" customWidth="1"/>
    <col min="6" max="6" width="13.33203125" style="184" customWidth="1"/>
    <col min="7" max="7" width="12.83203125" style="184" customWidth="1"/>
    <col min="8" max="8" width="11.83203125" style="184" customWidth="1"/>
    <col min="9" max="9" width="13.83203125" style="184" customWidth="1"/>
    <col min="10" max="16384" width="9.16015625" style="184" customWidth="1"/>
  </cols>
  <sheetData>
    <row r="1" spans="2:7" ht="24.75" customHeight="1">
      <c r="B1" s="685" t="s">
        <v>185</v>
      </c>
      <c r="C1" s="685"/>
      <c r="D1" s="685"/>
      <c r="E1" s="685"/>
      <c r="F1" s="685"/>
      <c r="G1" s="685"/>
    </row>
    <row r="2" spans="2:7" ht="21" customHeight="1">
      <c r="B2" s="185" t="s">
        <v>208</v>
      </c>
      <c r="C2" s="186"/>
      <c r="D2" s="187" t="str">
        <f>'รายการ 9893'!D3</f>
        <v> อาคารผู้ป่วยนอก - อุบัติเหตุ</v>
      </c>
      <c r="E2" s="679" t="s">
        <v>815</v>
      </c>
      <c r="F2" s="680"/>
      <c r="G2" s="681"/>
    </row>
    <row r="3" spans="2:7" ht="21" customHeight="1">
      <c r="B3" s="188" t="s">
        <v>210</v>
      </c>
      <c r="C3" s="189"/>
      <c r="D3" s="190" t="str">
        <f>'รายการ 9893'!D4</f>
        <v> โรงพยาบาลสรรพสิทธิประสงค์ จ.อุบลราชธานี</v>
      </c>
      <c r="E3" s="682" t="s">
        <v>918</v>
      </c>
      <c r="F3" s="683"/>
      <c r="G3" s="684"/>
    </row>
    <row r="4" spans="2:7" ht="21" customHeight="1">
      <c r="B4" s="191" t="s">
        <v>214</v>
      </c>
      <c r="C4" s="686" t="s">
        <v>218</v>
      </c>
      <c r="D4" s="687"/>
      <c r="E4" s="688" t="s">
        <v>186</v>
      </c>
      <c r="F4" s="689"/>
      <c r="G4" s="191" t="s">
        <v>215</v>
      </c>
    </row>
    <row r="5" spans="2:7" ht="21" customHeight="1">
      <c r="B5" s="193" t="s">
        <v>209</v>
      </c>
      <c r="C5" s="194" t="s">
        <v>209</v>
      </c>
      <c r="D5" s="194" t="s">
        <v>209</v>
      </c>
      <c r="E5" s="192" t="s">
        <v>175</v>
      </c>
      <c r="F5" s="192" t="s">
        <v>816</v>
      </c>
      <c r="G5" s="193" t="s">
        <v>209</v>
      </c>
    </row>
    <row r="6" spans="2:7" ht="21" customHeight="1">
      <c r="B6" s="195"/>
      <c r="C6" s="690" t="s">
        <v>189</v>
      </c>
      <c r="D6" s="691"/>
      <c r="E6" s="197"/>
      <c r="F6" s="198"/>
      <c r="G6" s="199" t="s">
        <v>209</v>
      </c>
    </row>
    <row r="7" spans="2:7" ht="21" customHeight="1">
      <c r="B7" s="200">
        <v>1</v>
      </c>
      <c r="C7" s="201" t="s">
        <v>657</v>
      </c>
      <c r="D7" s="202"/>
      <c r="E7" s="203"/>
      <c r="F7" s="204"/>
      <c r="G7" s="205" t="s">
        <v>209</v>
      </c>
    </row>
    <row r="8" spans="2:7" ht="21" customHeight="1">
      <c r="B8" s="206"/>
      <c r="C8" s="207" t="s">
        <v>190</v>
      </c>
      <c r="D8" s="202"/>
      <c r="E8" s="203"/>
      <c r="F8" s="204"/>
      <c r="G8" s="205"/>
    </row>
    <row r="9" spans="2:7" ht="21" customHeight="1">
      <c r="B9" s="206"/>
      <c r="C9" s="202">
        <v>1.1</v>
      </c>
      <c r="D9" s="202" t="s">
        <v>493</v>
      </c>
      <c r="E9" s="203"/>
      <c r="F9" s="208">
        <f>'รายการ 9893'!K69</f>
        <v>32409347.929056816</v>
      </c>
      <c r="G9" s="205"/>
    </row>
    <row r="10" spans="2:7" ht="21" customHeight="1">
      <c r="B10" s="206" t="s">
        <v>209</v>
      </c>
      <c r="C10" s="202">
        <v>1.2</v>
      </c>
      <c r="D10" s="202" t="s">
        <v>494</v>
      </c>
      <c r="E10" s="203"/>
      <c r="F10" s="204"/>
      <c r="G10" s="205" t="s">
        <v>209</v>
      </c>
    </row>
    <row r="11" spans="2:7" ht="21" customHeight="1">
      <c r="B11" s="206"/>
      <c r="C11" s="209"/>
      <c r="D11" s="210" t="s">
        <v>661</v>
      </c>
      <c r="E11" s="203"/>
      <c r="F11" s="211">
        <f>'รายการ 9893'!K95</f>
        <v>1857030.9</v>
      </c>
      <c r="G11" s="205"/>
    </row>
    <row r="12" spans="2:7" ht="21" customHeight="1">
      <c r="B12" s="206"/>
      <c r="C12" s="212"/>
      <c r="D12" s="213" t="s">
        <v>662</v>
      </c>
      <c r="E12" s="203"/>
      <c r="F12" s="211">
        <f>'รายการ 9893'!K108</f>
        <v>3951962</v>
      </c>
      <c r="G12" s="205"/>
    </row>
    <row r="13" spans="2:7" ht="21" customHeight="1">
      <c r="B13" s="206"/>
      <c r="C13" s="212"/>
      <c r="D13" s="210" t="s">
        <v>663</v>
      </c>
      <c r="E13" s="203"/>
      <c r="F13" s="211">
        <f>'รายการ 9893'!K152</f>
        <v>4945904</v>
      </c>
      <c r="G13" s="205"/>
    </row>
    <row r="14" spans="2:7" ht="21" customHeight="1">
      <c r="B14" s="206"/>
      <c r="C14" s="212"/>
      <c r="D14" s="210" t="s">
        <v>664</v>
      </c>
      <c r="E14" s="203"/>
      <c r="F14" s="211">
        <f>'รายการ 9893'!K180</f>
        <v>7064604</v>
      </c>
      <c r="G14" s="205"/>
    </row>
    <row r="15" spans="2:7" ht="21" customHeight="1">
      <c r="B15" s="206"/>
      <c r="C15" s="212"/>
      <c r="D15" s="210" t="s">
        <v>665</v>
      </c>
      <c r="E15" s="203"/>
      <c r="F15" s="211">
        <f>'รายการ 9893'!K196</f>
        <v>645132.28</v>
      </c>
      <c r="G15" s="205"/>
    </row>
    <row r="16" spans="2:7" ht="21" customHeight="1">
      <c r="B16" s="206"/>
      <c r="C16" s="212"/>
      <c r="D16" s="210" t="s">
        <v>666</v>
      </c>
      <c r="E16" s="203"/>
      <c r="F16" s="211">
        <f>'รายการ 9893'!K236</f>
        <v>1403575</v>
      </c>
      <c r="G16" s="205"/>
    </row>
    <row r="17" spans="2:7" ht="21" customHeight="1">
      <c r="B17" s="206"/>
      <c r="C17" s="212"/>
      <c r="D17" s="210" t="s">
        <v>667</v>
      </c>
      <c r="E17" s="203"/>
      <c r="F17" s="211">
        <f>+'รายการ 9893'!K265</f>
        <v>1110790</v>
      </c>
      <c r="G17" s="205"/>
    </row>
    <row r="18" spans="2:7" ht="21" customHeight="1">
      <c r="B18" s="206"/>
      <c r="C18" s="212"/>
      <c r="D18" s="210" t="s">
        <v>668</v>
      </c>
      <c r="E18" s="203"/>
      <c r="F18" s="211">
        <f>'รายการ 9893'!K274</f>
        <v>545040</v>
      </c>
      <c r="G18" s="205"/>
    </row>
    <row r="19" spans="2:9" ht="21" customHeight="1">
      <c r="B19" s="206"/>
      <c r="C19" s="212"/>
      <c r="D19" s="210" t="s">
        <v>669</v>
      </c>
      <c r="E19" s="203"/>
      <c r="F19" s="211">
        <f>'รายการ 9893'!K292</f>
        <v>233600</v>
      </c>
      <c r="G19" s="205"/>
      <c r="I19" s="262">
        <f>SUM(F8:F21)</f>
        <v>57440912.70905682</v>
      </c>
    </row>
    <row r="20" spans="2:9" ht="21" customHeight="1">
      <c r="B20" s="206" t="s">
        <v>209</v>
      </c>
      <c r="C20" s="214">
        <v>1.3</v>
      </c>
      <c r="D20" s="215" t="s">
        <v>670</v>
      </c>
      <c r="E20" s="203"/>
      <c r="F20" s="204">
        <f>'รายการ 9893'!K394</f>
        <v>3273926.6</v>
      </c>
      <c r="G20" s="205" t="s">
        <v>209</v>
      </c>
      <c r="I20" s="252">
        <f>SUM('รายการ 9893'!K14:K395)/2</f>
        <v>57440912.70905681</v>
      </c>
    </row>
    <row r="21" spans="2:9" ht="21" customHeight="1">
      <c r="B21" s="206"/>
      <c r="C21" s="215">
        <v>1.4</v>
      </c>
      <c r="D21" s="215" t="s">
        <v>671</v>
      </c>
      <c r="E21" s="203"/>
      <c r="F21" s="204"/>
      <c r="G21" s="205"/>
      <c r="I21" s="257">
        <f>SUM('รายการ 9893'!N14:N395)</f>
        <v>57440912.70905682</v>
      </c>
    </row>
    <row r="22" spans="2:9" ht="21" customHeight="1">
      <c r="B22" s="206"/>
      <c r="C22" s="215"/>
      <c r="D22" s="215" t="s">
        <v>699</v>
      </c>
      <c r="E22" s="203"/>
      <c r="F22" s="204">
        <f>'รายการ 9893'!K486</f>
        <v>9210938.5</v>
      </c>
      <c r="G22" s="205"/>
      <c r="I22" s="262">
        <f>SUM(F9:F27)</f>
        <v>68215648.80905682</v>
      </c>
    </row>
    <row r="23" spans="2:9" ht="21" customHeight="1">
      <c r="B23" s="206"/>
      <c r="C23" s="215"/>
      <c r="D23" s="215" t="s">
        <v>700</v>
      </c>
      <c r="E23" s="203"/>
      <c r="F23" s="204">
        <f>'รายการ 9893'!K501</f>
        <v>196560</v>
      </c>
      <c r="G23" s="205"/>
      <c r="I23" s="252">
        <f>SUM('รายการ 9893'!K14:K566)/2</f>
        <v>68215648.8090568</v>
      </c>
    </row>
    <row r="24" spans="2:9" ht="21" customHeight="1">
      <c r="B24" s="206"/>
      <c r="C24" s="215"/>
      <c r="D24" s="215" t="s">
        <v>701</v>
      </c>
      <c r="E24" s="203"/>
      <c r="F24" s="204">
        <f>'รายการ 9893'!K520</f>
        <v>415177.6</v>
      </c>
      <c r="G24" s="205"/>
      <c r="I24" s="257">
        <f>SUM('รายการ 9893'!N13:N566)</f>
        <v>68215648.80905682</v>
      </c>
    </row>
    <row r="25" spans="2:7" ht="21" customHeight="1">
      <c r="B25" s="206"/>
      <c r="C25" s="215"/>
      <c r="D25" s="215" t="s">
        <v>702</v>
      </c>
      <c r="E25" s="203"/>
      <c r="F25" s="204">
        <f>'รายการ 9893'!K540</f>
        <v>359960</v>
      </c>
      <c r="G25" s="205"/>
    </row>
    <row r="26" spans="2:7" ht="21" customHeight="1">
      <c r="B26" s="206"/>
      <c r="C26" s="215"/>
      <c r="D26" s="215" t="s">
        <v>704</v>
      </c>
      <c r="E26" s="203"/>
      <c r="F26" s="204">
        <f>'รายการ 9893'!K555</f>
        <v>516800</v>
      </c>
      <c r="G26" s="205"/>
    </row>
    <row r="27" spans="2:7" ht="21" customHeight="1">
      <c r="B27" s="206"/>
      <c r="C27" s="215"/>
      <c r="D27" s="215" t="s">
        <v>784</v>
      </c>
      <c r="E27" s="203"/>
      <c r="F27" s="204">
        <f>'รายการ 9893'!K565</f>
        <v>75300</v>
      </c>
      <c r="G27" s="205"/>
    </row>
    <row r="28" spans="2:7" ht="21" customHeight="1">
      <c r="B28" s="206"/>
      <c r="C28" s="176">
        <v>1.5</v>
      </c>
      <c r="D28" s="176" t="s">
        <v>672</v>
      </c>
      <c r="E28" s="203"/>
      <c r="F28" s="204">
        <f>'รายการ 9893'!K620</f>
        <v>4317644</v>
      </c>
      <c r="G28" s="205"/>
    </row>
    <row r="29" spans="2:7" ht="21" customHeight="1">
      <c r="B29" s="206"/>
      <c r="C29" s="176">
        <v>1.6</v>
      </c>
      <c r="D29" s="176" t="s">
        <v>673</v>
      </c>
      <c r="E29" s="203"/>
      <c r="F29" s="204">
        <f>'รายการ 9893'!K629</f>
        <v>6745000</v>
      </c>
      <c r="G29" s="205"/>
    </row>
    <row r="30" spans="2:7" ht="21" customHeight="1">
      <c r="B30" s="206"/>
      <c r="C30" s="176">
        <v>1.7</v>
      </c>
      <c r="D30" s="176" t="s">
        <v>674</v>
      </c>
      <c r="E30" s="203"/>
      <c r="F30" s="204"/>
      <c r="G30" s="205"/>
    </row>
    <row r="31" spans="2:7" ht="21" customHeight="1">
      <c r="B31" s="206"/>
      <c r="C31" s="216"/>
      <c r="D31" s="202" t="s">
        <v>706</v>
      </c>
      <c r="E31" s="203"/>
      <c r="F31" s="204">
        <f>'รายการ 9893'!K679</f>
        <v>3629772.48</v>
      </c>
      <c r="G31" s="205"/>
    </row>
    <row r="32" spans="2:7" ht="21" customHeight="1">
      <c r="B32" s="206"/>
      <c r="C32" s="216"/>
      <c r="D32" s="202"/>
      <c r="E32" s="203"/>
      <c r="F32" s="204"/>
      <c r="G32" s="205"/>
    </row>
    <row r="33" spans="2:7" ht="21" customHeight="1">
      <c r="B33" s="206"/>
      <c r="C33" s="216"/>
      <c r="D33" s="202"/>
      <c r="E33" s="203"/>
      <c r="F33" s="204"/>
      <c r="G33" s="205"/>
    </row>
    <row r="34" spans="2:7" ht="21" customHeight="1">
      <c r="B34" s="206"/>
      <c r="C34" s="216"/>
      <c r="D34" s="202"/>
      <c r="E34" s="203"/>
      <c r="F34" s="204"/>
      <c r="G34" s="205"/>
    </row>
    <row r="35" spans="2:7" ht="21" customHeight="1">
      <c r="B35" s="206"/>
      <c r="C35" s="216"/>
      <c r="D35" s="202"/>
      <c r="E35" s="203"/>
      <c r="F35" s="204"/>
      <c r="G35" s="205"/>
    </row>
    <row r="36" spans="2:7" ht="21" customHeight="1">
      <c r="B36" s="206"/>
      <c r="C36" s="216"/>
      <c r="D36" s="202"/>
      <c r="E36" s="203"/>
      <c r="F36" s="204"/>
      <c r="G36" s="205"/>
    </row>
    <row r="37" spans="2:7" ht="21" customHeight="1">
      <c r="B37" s="206"/>
      <c r="C37" s="216"/>
      <c r="D37" s="202"/>
      <c r="E37" s="203"/>
      <c r="F37" s="204"/>
      <c r="G37" s="205"/>
    </row>
    <row r="38" spans="2:7" ht="21" customHeight="1">
      <c r="B38" s="217"/>
      <c r="C38" s="218"/>
      <c r="D38" s="218"/>
      <c r="E38" s="219"/>
      <c r="F38" s="220"/>
      <c r="G38" s="221"/>
    </row>
    <row r="39" spans="2:7" ht="21" customHeight="1">
      <c r="B39" s="222" t="s">
        <v>209</v>
      </c>
      <c r="C39" s="223" t="s">
        <v>209</v>
      </c>
      <c r="D39" s="224" t="s">
        <v>194</v>
      </c>
      <c r="E39" s="225"/>
      <c r="F39" s="226">
        <f>SUM(F9:F38)</f>
        <v>82908065.28905682</v>
      </c>
      <c r="G39" s="227" t="s">
        <v>209</v>
      </c>
    </row>
    <row r="40" spans="2:7" ht="21" customHeight="1">
      <c r="B40" s="228">
        <v>2</v>
      </c>
      <c r="C40" s="175" t="s">
        <v>675</v>
      </c>
      <c r="D40" s="176"/>
      <c r="E40" s="229"/>
      <c r="F40" s="230"/>
      <c r="G40" s="231" t="s">
        <v>193</v>
      </c>
    </row>
    <row r="41" spans="2:7" ht="21" customHeight="1">
      <c r="B41" s="232"/>
      <c r="C41" s="176" t="s">
        <v>190</v>
      </c>
      <c r="D41" s="176"/>
      <c r="E41" s="229"/>
      <c r="F41" s="230"/>
      <c r="G41" s="231"/>
    </row>
    <row r="42" spans="2:7" ht="21" customHeight="1">
      <c r="B42" s="232" t="s">
        <v>209</v>
      </c>
      <c r="C42" s="233">
        <v>2.1</v>
      </c>
      <c r="D42" s="176" t="s">
        <v>676</v>
      </c>
      <c r="E42" s="229"/>
      <c r="F42" s="229">
        <f>'รายการ 9893'!K769</f>
        <v>2475880</v>
      </c>
      <c r="G42" s="205"/>
    </row>
    <row r="43" spans="2:7" ht="21" customHeight="1">
      <c r="B43" s="232" t="s">
        <v>193</v>
      </c>
      <c r="C43" s="233">
        <v>2.2</v>
      </c>
      <c r="D43" s="176" t="s">
        <v>677</v>
      </c>
      <c r="E43" s="229"/>
      <c r="F43" s="230">
        <v>0</v>
      </c>
      <c r="G43" s="205" t="s">
        <v>209</v>
      </c>
    </row>
    <row r="44" spans="2:7" ht="21" customHeight="1">
      <c r="B44" s="206"/>
      <c r="C44" s="234"/>
      <c r="D44" s="234"/>
      <c r="E44" s="235"/>
      <c r="F44" s="235"/>
      <c r="G44" s="205"/>
    </row>
    <row r="45" spans="2:7" ht="21" customHeight="1">
      <c r="B45" s="222" t="s">
        <v>209</v>
      </c>
      <c r="C45" s="236" t="s">
        <v>209</v>
      </c>
      <c r="D45" s="224" t="s">
        <v>195</v>
      </c>
      <c r="E45" s="237"/>
      <c r="F45" s="226">
        <f>SUM(F42:F44)</f>
        <v>2475880</v>
      </c>
      <c r="G45" s="227" t="s">
        <v>209</v>
      </c>
    </row>
    <row r="46" spans="2:7" ht="21" customHeight="1">
      <c r="B46" s="195"/>
      <c r="C46" s="238"/>
      <c r="D46" s="239"/>
      <c r="E46" s="240"/>
      <c r="F46" s="240"/>
      <c r="G46" s="241"/>
    </row>
    <row r="47" spans="2:7" ht="21" customHeight="1">
      <c r="B47" s="228">
        <v>3</v>
      </c>
      <c r="C47" s="242" t="s">
        <v>678</v>
      </c>
      <c r="D47" s="176"/>
      <c r="E47" s="229"/>
      <c r="F47" s="230"/>
      <c r="G47" s="231" t="s">
        <v>209</v>
      </c>
    </row>
    <row r="48" spans="2:7" ht="21" customHeight="1">
      <c r="B48" s="232"/>
      <c r="C48" s="176" t="s">
        <v>190</v>
      </c>
      <c r="D48" s="176"/>
      <c r="E48" s="229"/>
      <c r="F48" s="230"/>
      <c r="G48" s="231"/>
    </row>
    <row r="49" spans="2:7" ht="21" customHeight="1">
      <c r="B49" s="232"/>
      <c r="C49" s="233">
        <v>3.1</v>
      </c>
      <c r="D49" s="176" t="s">
        <v>197</v>
      </c>
      <c r="E49" s="229"/>
      <c r="F49" s="229">
        <v>0</v>
      </c>
      <c r="G49" s="205"/>
    </row>
    <row r="50" spans="2:7" ht="21" customHeight="1">
      <c r="B50" s="243"/>
      <c r="C50" s="233">
        <v>3.2</v>
      </c>
      <c r="D50" s="176" t="s">
        <v>679</v>
      </c>
      <c r="E50" s="244"/>
      <c r="F50" s="245">
        <v>0</v>
      </c>
      <c r="G50" s="205"/>
    </row>
    <row r="51" spans="2:7" ht="21" customHeight="1">
      <c r="B51" s="246"/>
      <c r="C51" s="247"/>
      <c r="D51" s="202"/>
      <c r="E51" s="203"/>
      <c r="F51" s="204"/>
      <c r="G51" s="205" t="s">
        <v>209</v>
      </c>
    </row>
    <row r="52" spans="2:7" ht="21" customHeight="1">
      <c r="B52" s="222" t="s">
        <v>209</v>
      </c>
      <c r="C52" s="223" t="s">
        <v>209</v>
      </c>
      <c r="D52" s="224" t="s">
        <v>196</v>
      </c>
      <c r="E52" s="237"/>
      <c r="F52" s="226">
        <f>SUM(F50:F51)</f>
        <v>0</v>
      </c>
      <c r="G52" s="227" t="s">
        <v>209</v>
      </c>
    </row>
    <row r="53" spans="2:7" ht="21" customHeight="1">
      <c r="B53" s="222"/>
      <c r="C53" s="223"/>
      <c r="D53" s="224"/>
      <c r="E53" s="225"/>
      <c r="F53" s="226"/>
      <c r="G53" s="227"/>
    </row>
    <row r="54" spans="2:9" ht="21" customHeight="1">
      <c r="B54" s="248"/>
      <c r="C54" s="692" t="s">
        <v>198</v>
      </c>
      <c r="D54" s="693"/>
      <c r="E54" s="249"/>
      <c r="F54" s="250">
        <f>SUM(F52,F45,F39)</f>
        <v>85383945.28905682</v>
      </c>
      <c r="G54" s="251" t="s">
        <v>209</v>
      </c>
      <c r="I54" s="252">
        <f>SUM('รายการ 9893'!K15:K769)/2</f>
        <v>85383945.2890568</v>
      </c>
    </row>
    <row r="55" spans="2:9" ht="21" customHeight="1">
      <c r="B55" s="253"/>
      <c r="C55" s="694" t="s">
        <v>680</v>
      </c>
      <c r="D55" s="695"/>
      <c r="E55" s="254"/>
      <c r="F55" s="255"/>
      <c r="G55" s="256"/>
      <c r="I55" s="257">
        <f>SUM('รายการ 9893'!N15:N783)</f>
        <v>85383945.28905682</v>
      </c>
    </row>
    <row r="56" spans="2:7" ht="21" customHeight="1">
      <c r="B56" s="232"/>
      <c r="C56" s="696" t="s">
        <v>681</v>
      </c>
      <c r="D56" s="697"/>
      <c r="E56" s="229"/>
      <c r="F56" s="230"/>
      <c r="G56" s="256"/>
    </row>
    <row r="57" spans="2:7" ht="21" customHeight="1">
      <c r="B57" s="232" t="s">
        <v>209</v>
      </c>
      <c r="C57" s="176">
        <v>2.1</v>
      </c>
      <c r="D57" s="176" t="s">
        <v>682</v>
      </c>
      <c r="E57" s="229"/>
      <c r="F57" s="229">
        <f>'รายการ 9893'!K789</f>
        <v>602640</v>
      </c>
      <c r="G57" s="205" t="s">
        <v>209</v>
      </c>
    </row>
    <row r="58" spans="2:7" ht="21" customHeight="1">
      <c r="B58" s="232"/>
      <c r="C58" s="233">
        <v>2.2</v>
      </c>
      <c r="D58" s="258" t="s">
        <v>683</v>
      </c>
      <c r="E58" s="229"/>
      <c r="F58" s="230">
        <v>0</v>
      </c>
      <c r="G58" s="205"/>
    </row>
    <row r="59" spans="2:7" ht="21" customHeight="1">
      <c r="B59" s="232"/>
      <c r="C59" s="233">
        <v>2.3</v>
      </c>
      <c r="D59" s="258" t="s">
        <v>791</v>
      </c>
      <c r="E59" s="229"/>
      <c r="F59" s="230">
        <f>'รายการ 9893'!K801</f>
        <v>701400</v>
      </c>
      <c r="G59" s="205"/>
    </row>
    <row r="60" spans="2:7" ht="21" customHeight="1">
      <c r="B60" s="217"/>
      <c r="C60" s="259"/>
      <c r="D60" s="260"/>
      <c r="E60" s="219"/>
      <c r="F60" s="220"/>
      <c r="G60" s="221"/>
    </row>
    <row r="61" spans="2:9" ht="21" customHeight="1">
      <c r="B61" s="248"/>
      <c r="C61" s="692" t="s">
        <v>199</v>
      </c>
      <c r="D61" s="693"/>
      <c r="E61" s="261"/>
      <c r="F61" s="250">
        <f>SUM(F57:F60)</f>
        <v>1304040</v>
      </c>
      <c r="G61" s="251" t="s">
        <v>209</v>
      </c>
      <c r="H61" s="262"/>
      <c r="I61" s="262">
        <f>F54+F61</f>
        <v>86687985.28905682</v>
      </c>
    </row>
    <row r="62" spans="2:9" ht="21" customHeight="1">
      <c r="B62" s="253"/>
      <c r="C62" s="694" t="s">
        <v>200</v>
      </c>
      <c r="D62" s="695"/>
      <c r="E62" s="254"/>
      <c r="F62" s="255"/>
      <c r="G62" s="263"/>
      <c r="I62" s="252">
        <f>SUM('รายการ 9893'!K14:K808)/2</f>
        <v>86687985.2890568</v>
      </c>
    </row>
    <row r="63" spans="2:9" ht="21" customHeight="1">
      <c r="B63" s="232"/>
      <c r="C63" s="698" t="s">
        <v>804</v>
      </c>
      <c r="D63" s="697"/>
      <c r="E63" s="229"/>
      <c r="F63" s="230"/>
      <c r="G63" s="263"/>
      <c r="I63" s="257">
        <f>SUM('รายการ 9893'!N15:N811)</f>
        <v>86687985.28905682</v>
      </c>
    </row>
    <row r="64" spans="2:7" ht="21" customHeight="1">
      <c r="B64" s="232" t="s">
        <v>209</v>
      </c>
      <c r="C64" s="176">
        <v>3.1</v>
      </c>
      <c r="D64" s="176" t="s">
        <v>201</v>
      </c>
      <c r="E64" s="229"/>
      <c r="F64" s="230">
        <v>0</v>
      </c>
      <c r="G64" s="263"/>
    </row>
    <row r="65" spans="2:7" ht="21" customHeight="1">
      <c r="B65" s="264" t="s">
        <v>209</v>
      </c>
      <c r="C65" s="265"/>
      <c r="D65" s="265"/>
      <c r="E65" s="266"/>
      <c r="F65" s="267"/>
      <c r="G65" s="231" t="s">
        <v>209</v>
      </c>
    </row>
    <row r="66" spans="2:7" ht="21" customHeight="1">
      <c r="B66" s="217"/>
      <c r="C66" s="218"/>
      <c r="D66" s="218"/>
      <c r="E66" s="219"/>
      <c r="F66" s="220"/>
      <c r="G66" s="221"/>
    </row>
    <row r="67" spans="2:7" ht="21" customHeight="1">
      <c r="B67" s="248"/>
      <c r="C67" s="692" t="s">
        <v>202</v>
      </c>
      <c r="D67" s="693"/>
      <c r="E67" s="261"/>
      <c r="F67" s="250">
        <f>SUM(F65:F66)</f>
        <v>0</v>
      </c>
      <c r="G67" s="251" t="s">
        <v>209</v>
      </c>
    </row>
    <row r="68" spans="2:7" s="273" customFormat="1" ht="21" customHeight="1">
      <c r="B68" s="268"/>
      <c r="C68" s="269"/>
      <c r="D68" s="269"/>
      <c r="E68" s="270"/>
      <c r="F68" s="271"/>
      <c r="G68" s="272"/>
    </row>
    <row r="69" spans="2:7" ht="21" customHeight="1">
      <c r="B69" s="206"/>
      <c r="C69" s="274"/>
      <c r="D69" s="275"/>
      <c r="E69" s="276"/>
      <c r="F69" s="276"/>
      <c r="G69" s="205"/>
    </row>
    <row r="70" spans="2:7" ht="21" customHeight="1">
      <c r="B70" s="206"/>
      <c r="C70" s="277"/>
      <c r="D70" s="278"/>
      <c r="E70" s="279"/>
      <c r="F70" s="280"/>
      <c r="G70" s="205"/>
    </row>
    <row r="71" spans="2:7" ht="21" customHeight="1">
      <c r="B71" s="281"/>
      <c r="C71" s="277"/>
      <c r="D71" s="278"/>
      <c r="E71" s="279"/>
      <c r="F71" s="280"/>
      <c r="G71" s="282"/>
    </row>
    <row r="72" spans="2:7" ht="21" customHeight="1">
      <c r="B72" s="264"/>
      <c r="C72" s="277"/>
      <c r="D72" s="278"/>
      <c r="E72" s="279"/>
      <c r="F72" s="280"/>
      <c r="G72" s="231"/>
    </row>
    <row r="73" spans="2:7" ht="21" customHeight="1">
      <c r="B73" s="283"/>
      <c r="C73" s="284"/>
      <c r="D73" s="284"/>
      <c r="E73" s="285"/>
      <c r="F73" s="286"/>
      <c r="G73" s="287"/>
    </row>
  </sheetData>
  <sheetProtection/>
  <mergeCells count="13">
    <mergeCell ref="C67:D67"/>
    <mergeCell ref="C54:D54"/>
    <mergeCell ref="C55:D55"/>
    <mergeCell ref="C56:D56"/>
    <mergeCell ref="C61:D61"/>
    <mergeCell ref="C63:D63"/>
    <mergeCell ref="C62:D62"/>
    <mergeCell ref="E2:G2"/>
    <mergeCell ref="E3:G3"/>
    <mergeCell ref="B1:G1"/>
    <mergeCell ref="C4:D4"/>
    <mergeCell ref="E4:F4"/>
    <mergeCell ref="C6:D6"/>
  </mergeCells>
  <printOptions horizontalCentered="1"/>
  <pageMargins left="0.15748031496062992" right="0" top="0.8267716535433072" bottom="0.4330708661417323" header="0.35433070866141736" footer="0.1968503937007874"/>
  <pageSetup horizontalDpi="600" verticalDpi="600" orientation="portrait" paperSize="9" r:id="rId1"/>
  <headerFooter alignWithMargins="0">
    <oddHeader>&amp;R&amp;14แบบ ปร.4 แผ่นที่ &amp;P/21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Q808"/>
  <sheetViews>
    <sheetView showGridLines="0" tabSelected="1" view="pageLayout" zoomScaleNormal="115" zoomScaleSheetLayoutView="96" workbookViewId="0" topLeftCell="A1">
      <selection activeCell="G12" sqref="G12"/>
    </sheetView>
  </sheetViews>
  <sheetFormatPr defaultColWidth="9.16015625" defaultRowHeight="17.25"/>
  <cols>
    <col min="1" max="1" width="2.16015625" style="1" customWidth="1"/>
    <col min="2" max="2" width="5.83203125" style="1" customWidth="1"/>
    <col min="3" max="3" width="9.5" style="1" customWidth="1"/>
    <col min="4" max="4" width="38.16015625" style="1" customWidth="1"/>
    <col min="5" max="5" width="7.5" style="2" customWidth="1"/>
    <col min="6" max="6" width="9.83203125" style="1" customWidth="1"/>
    <col min="7" max="7" width="11.16015625" style="1" customWidth="1"/>
    <col min="8" max="8" width="13.66015625" style="1" customWidth="1"/>
    <col min="9" max="9" width="12" style="1" customWidth="1"/>
    <col min="10" max="10" width="13.5" style="1" customWidth="1"/>
    <col min="11" max="11" width="14.5" style="1" customWidth="1"/>
    <col min="12" max="12" width="2.83203125" style="1" customWidth="1"/>
    <col min="13" max="13" width="14.66015625" style="3" customWidth="1"/>
    <col min="14" max="14" width="16.66015625" style="1" customWidth="1"/>
    <col min="15" max="15" width="10.5" style="1" bestFit="1" customWidth="1"/>
    <col min="16" max="16" width="8.33203125" style="1" customWidth="1"/>
    <col min="17" max="17" width="10.83203125" style="1" customWidth="1"/>
    <col min="18" max="18" width="10.66015625" style="1" customWidth="1"/>
    <col min="19" max="19" width="10.33203125" style="1" customWidth="1"/>
    <col min="20" max="20" width="14.66015625" style="1" customWidth="1"/>
    <col min="21" max="16384" width="9.16015625" style="1" customWidth="1"/>
  </cols>
  <sheetData>
    <row r="1" ht="8.25" customHeight="1"/>
    <row r="2" spans="2:11" ht="24" customHeight="1">
      <c r="B2" s="706" t="s">
        <v>207</v>
      </c>
      <c r="C2" s="706"/>
      <c r="D2" s="706"/>
      <c r="E2" s="706"/>
      <c r="F2" s="706"/>
      <c r="G2" s="706"/>
      <c r="H2" s="706"/>
      <c r="I2" s="706"/>
      <c r="J2" s="706"/>
      <c r="K2" s="706"/>
    </row>
    <row r="3" spans="2:13" s="6" customFormat="1" ht="21.75" customHeight="1">
      <c r="B3" s="166" t="s">
        <v>203</v>
      </c>
      <c r="C3" s="4"/>
      <c r="D3" s="168" t="s">
        <v>650</v>
      </c>
      <c r="E3" s="154"/>
      <c r="F3" s="5"/>
      <c r="G3" s="5"/>
      <c r="H3" s="5"/>
      <c r="I3" s="708" t="s">
        <v>814</v>
      </c>
      <c r="J3" s="709"/>
      <c r="K3" s="710"/>
      <c r="M3" s="7"/>
    </row>
    <row r="4" spans="2:13" s="6" customFormat="1" ht="21.75" customHeight="1">
      <c r="B4" s="167" t="s">
        <v>210</v>
      </c>
      <c r="C4" s="9"/>
      <c r="D4" s="13" t="s">
        <v>651</v>
      </c>
      <c r="E4" s="10"/>
      <c r="F4" s="11"/>
      <c r="G4" s="12"/>
      <c r="H4" s="12"/>
      <c r="I4" s="711" t="s">
        <v>918</v>
      </c>
      <c r="J4" s="712"/>
      <c r="K4" s="713"/>
      <c r="M4" s="7"/>
    </row>
    <row r="5" spans="2:13" s="6" customFormat="1" ht="21.75" customHeight="1">
      <c r="B5" s="8"/>
      <c r="C5" s="9"/>
      <c r="D5" s="12"/>
      <c r="E5" s="14"/>
      <c r="F5" s="15"/>
      <c r="G5" s="16"/>
      <c r="H5" s="16"/>
      <c r="I5" s="163"/>
      <c r="J5" s="388"/>
      <c r="K5" s="20"/>
      <c r="M5" s="7"/>
    </row>
    <row r="6" spans="2:13" s="6" customFormat="1" ht="21.75" customHeight="1">
      <c r="B6" s="8"/>
      <c r="C6" s="9"/>
      <c r="D6" s="17"/>
      <c r="E6" s="18"/>
      <c r="F6" s="15"/>
      <c r="G6" s="16"/>
      <c r="H6" s="16"/>
      <c r="I6" s="163"/>
      <c r="J6" s="19"/>
      <c r="K6" s="20"/>
      <c r="M6" s="7"/>
    </row>
    <row r="7" spans="2:13" s="6" customFormat="1" ht="21.75" customHeight="1">
      <c r="B7" s="21"/>
      <c r="C7" s="9"/>
      <c r="D7" s="17"/>
      <c r="E7" s="22"/>
      <c r="F7" s="23"/>
      <c r="G7" s="14"/>
      <c r="H7" s="16"/>
      <c r="I7" s="164"/>
      <c r="J7" s="401"/>
      <c r="K7" s="24"/>
      <c r="M7" s="7"/>
    </row>
    <row r="8" spans="2:13" s="6" customFormat="1" ht="21.75" customHeight="1">
      <c r="B8" s="25"/>
      <c r="C8" s="26"/>
      <c r="D8" s="27"/>
      <c r="E8" s="28"/>
      <c r="F8" s="29"/>
      <c r="G8" s="30"/>
      <c r="H8" s="30"/>
      <c r="I8" s="165"/>
      <c r="J8" s="402"/>
      <c r="K8" s="31"/>
      <c r="M8" s="7"/>
    </row>
    <row r="9" spans="2:11" ht="11.25" customHeight="1">
      <c r="B9" s="32"/>
      <c r="C9" s="33"/>
      <c r="D9" s="33"/>
      <c r="E9" s="34"/>
      <c r="F9" s="35"/>
      <c r="G9" s="33"/>
      <c r="H9" s="33"/>
      <c r="I9" s="33"/>
      <c r="J9" s="36"/>
      <c r="K9" s="32"/>
    </row>
    <row r="10" spans="2:11" ht="21.75" customHeight="1">
      <c r="B10" s="37" t="s">
        <v>214</v>
      </c>
      <c r="C10" s="707" t="s">
        <v>218</v>
      </c>
      <c r="D10" s="707"/>
      <c r="E10" s="37" t="s">
        <v>219</v>
      </c>
      <c r="F10" s="126" t="s">
        <v>220</v>
      </c>
      <c r="G10" s="701" t="s">
        <v>221</v>
      </c>
      <c r="H10" s="701"/>
      <c r="I10" s="701" t="s">
        <v>222</v>
      </c>
      <c r="J10" s="701"/>
      <c r="K10" s="38" t="s">
        <v>223</v>
      </c>
    </row>
    <row r="11" spans="2:11" ht="21.75" customHeight="1">
      <c r="B11" s="39" t="s">
        <v>209</v>
      </c>
      <c r="C11" s="40"/>
      <c r="D11" s="40"/>
      <c r="E11" s="41"/>
      <c r="F11" s="40"/>
      <c r="G11" s="41" t="s">
        <v>224</v>
      </c>
      <c r="H11" s="41" t="s">
        <v>225</v>
      </c>
      <c r="I11" s="41" t="s">
        <v>224</v>
      </c>
      <c r="J11" s="41" t="s">
        <v>225</v>
      </c>
      <c r="K11" s="42"/>
    </row>
    <row r="12" spans="2:11" ht="21.75" customHeight="1">
      <c r="B12" s="43"/>
      <c r="C12" s="714" t="s">
        <v>656</v>
      </c>
      <c r="D12" s="715"/>
      <c r="E12" s="45"/>
      <c r="F12" s="44"/>
      <c r="G12" s="45"/>
      <c r="H12" s="45"/>
      <c r="I12" s="45"/>
      <c r="J12" s="45"/>
      <c r="K12" s="46"/>
    </row>
    <row r="13" spans="2:11" ht="21.75" customHeight="1">
      <c r="B13" s="47"/>
      <c r="C13" s="175" t="s">
        <v>915</v>
      </c>
      <c r="D13" s="176"/>
      <c r="E13" s="49"/>
      <c r="F13" s="48"/>
      <c r="G13" s="49"/>
      <c r="H13" s="49"/>
      <c r="I13" s="49"/>
      <c r="J13" s="49"/>
      <c r="K13" s="50"/>
    </row>
    <row r="14" spans="2:11" ht="21.75" customHeight="1">
      <c r="B14" s="51"/>
      <c r="C14" s="702" t="s">
        <v>658</v>
      </c>
      <c r="D14" s="703"/>
      <c r="E14" s="52"/>
      <c r="F14" s="53"/>
      <c r="G14" s="53"/>
      <c r="H14" s="53"/>
      <c r="I14" s="53"/>
      <c r="J14" s="53"/>
      <c r="K14" s="53"/>
    </row>
    <row r="15" spans="2:15" ht="21.75" customHeight="1">
      <c r="B15" s="51">
        <v>1</v>
      </c>
      <c r="C15" s="390" t="s">
        <v>919</v>
      </c>
      <c r="D15" s="54"/>
      <c r="E15" s="391" t="s">
        <v>655</v>
      </c>
      <c r="F15" s="392">
        <v>15670</v>
      </c>
      <c r="G15" s="480">
        <f>recheck!B29</f>
        <v>88.78</v>
      </c>
      <c r="H15" s="392">
        <f>F15*G15</f>
        <v>1391182.6</v>
      </c>
      <c r="I15" s="394">
        <v>20</v>
      </c>
      <c r="J15" s="392">
        <f>F15*I15</f>
        <v>313400</v>
      </c>
      <c r="K15" s="392">
        <f>+H15+J15</f>
        <v>1704582.6</v>
      </c>
      <c r="L15" s="257"/>
      <c r="M15" s="257"/>
      <c r="N15" s="108">
        <f>(G15+I15)*F15</f>
        <v>1704582.6</v>
      </c>
      <c r="O15" s="257"/>
    </row>
    <row r="16" spans="2:15" ht="21.75" customHeight="1">
      <c r="B16" s="51">
        <v>2</v>
      </c>
      <c r="C16" s="390" t="s">
        <v>868</v>
      </c>
      <c r="D16" s="54"/>
      <c r="E16" s="391" t="s">
        <v>233</v>
      </c>
      <c r="F16" s="392">
        <v>2</v>
      </c>
      <c r="G16" s="393">
        <v>16500</v>
      </c>
      <c r="H16" s="392">
        <f>F16*G16</f>
        <v>33000</v>
      </c>
      <c r="I16" s="394">
        <v>0</v>
      </c>
      <c r="J16" s="392">
        <f>F16*I16</f>
        <v>0</v>
      </c>
      <c r="K16" s="392">
        <f>+H16+J16</f>
        <v>33000</v>
      </c>
      <c r="L16" s="257"/>
      <c r="M16" s="257"/>
      <c r="N16" s="108">
        <f>(G16+I16)*F16</f>
        <v>33000</v>
      </c>
      <c r="O16" s="257"/>
    </row>
    <row r="17" spans="2:14" ht="21.75" customHeight="1">
      <c r="B17" s="51">
        <v>3</v>
      </c>
      <c r="C17" s="54" t="s">
        <v>817</v>
      </c>
      <c r="D17" s="54"/>
      <c r="E17" s="52"/>
      <c r="F17" s="53"/>
      <c r="G17" s="53"/>
      <c r="H17" s="53"/>
      <c r="I17" s="53"/>
      <c r="J17" s="53"/>
      <c r="K17" s="53"/>
      <c r="N17" s="108">
        <f>(G17+I17)*F17</f>
        <v>0</v>
      </c>
    </row>
    <row r="18" spans="2:14" ht="21.75" customHeight="1">
      <c r="B18" s="51"/>
      <c r="C18" s="54" t="s">
        <v>818</v>
      </c>
      <c r="D18" s="54"/>
      <c r="E18" s="52" t="s">
        <v>226</v>
      </c>
      <c r="F18" s="53">
        <v>301</v>
      </c>
      <c r="G18" s="53">
        <v>16059</v>
      </c>
      <c r="H18" s="53">
        <f aca="true" t="shared" si="0" ref="H18:H26">F18*G18</f>
        <v>4833759</v>
      </c>
      <c r="I18" s="53">
        <v>0</v>
      </c>
      <c r="J18" s="53">
        <f aca="true" t="shared" si="1" ref="J18:J26">F18*I18</f>
        <v>0</v>
      </c>
      <c r="K18" s="53">
        <f aca="true" t="shared" si="2" ref="K18:K26">(G18+I18)*F18</f>
        <v>4833759</v>
      </c>
      <c r="N18" s="108">
        <f>(G18+I18)*F18</f>
        <v>4833759</v>
      </c>
    </row>
    <row r="19" spans="2:14" ht="21.75" customHeight="1">
      <c r="B19" s="51">
        <v>4</v>
      </c>
      <c r="C19" s="54" t="s">
        <v>819</v>
      </c>
      <c r="D19" s="54"/>
      <c r="E19" s="52" t="s">
        <v>226</v>
      </c>
      <c r="F19" s="53">
        <v>301</v>
      </c>
      <c r="G19" s="53">
        <v>0</v>
      </c>
      <c r="H19" s="53">
        <f t="shared" si="0"/>
        <v>0</v>
      </c>
      <c r="I19" s="53">
        <v>500</v>
      </c>
      <c r="J19" s="53">
        <f t="shared" si="1"/>
        <v>150500</v>
      </c>
      <c r="K19" s="53">
        <f t="shared" si="2"/>
        <v>150500</v>
      </c>
      <c r="N19" s="108">
        <f aca="true" t="shared" si="3" ref="N19:N80">(G19+I19)*F19</f>
        <v>150500</v>
      </c>
    </row>
    <row r="20" spans="2:14" ht="21.75" customHeight="1">
      <c r="B20" s="51">
        <v>5</v>
      </c>
      <c r="C20" s="395" t="s">
        <v>869</v>
      </c>
      <c r="D20" s="396"/>
      <c r="E20" s="391" t="s">
        <v>226</v>
      </c>
      <c r="F20" s="53">
        <v>301</v>
      </c>
      <c r="G20" s="397">
        <v>300</v>
      </c>
      <c r="H20" s="392">
        <f>F20*G20</f>
        <v>90300</v>
      </c>
      <c r="I20" s="392">
        <v>0</v>
      </c>
      <c r="J20" s="392">
        <f>F20*I20</f>
        <v>0</v>
      </c>
      <c r="K20" s="392">
        <f>+H20+J20</f>
        <v>90300</v>
      </c>
      <c r="N20" s="108">
        <f t="shared" si="3"/>
        <v>90300</v>
      </c>
    </row>
    <row r="21" spans="2:14" ht="21.75" customHeight="1">
      <c r="B21" s="51">
        <v>6</v>
      </c>
      <c r="C21" s="395" t="s">
        <v>870</v>
      </c>
      <c r="D21" s="396"/>
      <c r="E21" s="391"/>
      <c r="F21" s="392"/>
      <c r="G21" s="393"/>
      <c r="H21" s="392"/>
      <c r="I21" s="392"/>
      <c r="J21" s="392"/>
      <c r="K21" s="392"/>
      <c r="N21" s="108">
        <f t="shared" si="3"/>
        <v>0</v>
      </c>
    </row>
    <row r="22" spans="2:14" ht="21.75" customHeight="1">
      <c r="B22" s="51"/>
      <c r="C22" s="395" t="s">
        <v>871</v>
      </c>
      <c r="D22" s="396"/>
      <c r="E22" s="391" t="s">
        <v>226</v>
      </c>
      <c r="F22" s="392">
        <v>1</v>
      </c>
      <c r="G22" s="397">
        <v>76059</v>
      </c>
      <c r="H22" s="392">
        <f>F22*G22</f>
        <v>76059</v>
      </c>
      <c r="I22" s="392">
        <v>0</v>
      </c>
      <c r="J22" s="392">
        <f>F22*I22</f>
        <v>0</v>
      </c>
      <c r="K22" s="392">
        <f>+H22+J22</f>
        <v>76059</v>
      </c>
      <c r="N22" s="108">
        <f t="shared" si="3"/>
        <v>76059</v>
      </c>
    </row>
    <row r="23" spans="2:14" ht="21.75" customHeight="1">
      <c r="B23" s="51">
        <v>7</v>
      </c>
      <c r="C23" s="54" t="s">
        <v>227</v>
      </c>
      <c r="D23" s="54"/>
      <c r="E23" s="52" t="s">
        <v>655</v>
      </c>
      <c r="F23" s="53">
        <v>1021</v>
      </c>
      <c r="G23" s="53">
        <v>0</v>
      </c>
      <c r="H23" s="53">
        <f t="shared" si="0"/>
        <v>0</v>
      </c>
      <c r="I23" s="53">
        <v>99</v>
      </c>
      <c r="J23" s="53">
        <f t="shared" si="1"/>
        <v>101079</v>
      </c>
      <c r="K23" s="53">
        <f t="shared" si="2"/>
        <v>101079</v>
      </c>
      <c r="N23" s="108">
        <f t="shared" si="3"/>
        <v>101079</v>
      </c>
    </row>
    <row r="24" spans="2:14" ht="21.75" customHeight="1">
      <c r="B24" s="51">
        <v>8</v>
      </c>
      <c r="C24" s="54" t="s">
        <v>228</v>
      </c>
      <c r="D24" s="54"/>
      <c r="E24" s="52" t="s">
        <v>655</v>
      </c>
      <c r="F24" s="53">
        <v>60</v>
      </c>
      <c r="G24" s="53">
        <f>recheck!B31</f>
        <v>322.57</v>
      </c>
      <c r="H24" s="53">
        <f t="shared" si="0"/>
        <v>19354.2</v>
      </c>
      <c r="I24" s="53">
        <v>91</v>
      </c>
      <c r="J24" s="53">
        <f t="shared" si="1"/>
        <v>5460</v>
      </c>
      <c r="K24" s="53">
        <f t="shared" si="2"/>
        <v>24814.2</v>
      </c>
      <c r="N24" s="108">
        <f t="shared" si="3"/>
        <v>24814.2</v>
      </c>
    </row>
    <row r="25" spans="2:14" ht="21.75" customHeight="1">
      <c r="B25" s="51">
        <v>9</v>
      </c>
      <c r="C25" s="54" t="s">
        <v>884</v>
      </c>
      <c r="D25" s="54"/>
      <c r="E25" s="52" t="s">
        <v>655</v>
      </c>
      <c r="F25" s="53">
        <v>25</v>
      </c>
      <c r="G25" s="53">
        <f>recheck!B8</f>
        <v>1950</v>
      </c>
      <c r="H25" s="53">
        <f t="shared" si="0"/>
        <v>48750</v>
      </c>
      <c r="I25" s="53">
        <v>398</v>
      </c>
      <c r="J25" s="53">
        <f t="shared" si="1"/>
        <v>9950</v>
      </c>
      <c r="K25" s="53">
        <f t="shared" si="2"/>
        <v>58700</v>
      </c>
      <c r="N25" s="108">
        <f t="shared" si="3"/>
        <v>58700</v>
      </c>
    </row>
    <row r="26" spans="2:14" ht="21.75" customHeight="1">
      <c r="B26" s="51">
        <v>10</v>
      </c>
      <c r="C26" s="54" t="s">
        <v>4</v>
      </c>
      <c r="D26" s="54"/>
      <c r="E26" s="52" t="s">
        <v>655</v>
      </c>
      <c r="F26" s="53">
        <v>2876</v>
      </c>
      <c r="G26" s="53">
        <f>recheck!B3</f>
        <v>2233.64</v>
      </c>
      <c r="H26" s="53">
        <f t="shared" si="0"/>
        <v>6423948.64</v>
      </c>
      <c r="I26" s="53">
        <v>485</v>
      </c>
      <c r="J26" s="53">
        <f t="shared" si="1"/>
        <v>1394860</v>
      </c>
      <c r="K26" s="53">
        <f t="shared" si="2"/>
        <v>7818808.64</v>
      </c>
      <c r="N26" s="108">
        <f t="shared" si="3"/>
        <v>7818808.64</v>
      </c>
    </row>
    <row r="27" spans="2:14" ht="21.75" customHeight="1">
      <c r="B27" s="51">
        <v>11</v>
      </c>
      <c r="C27" s="54" t="s">
        <v>229</v>
      </c>
      <c r="D27" s="54"/>
      <c r="E27" s="52"/>
      <c r="F27" s="53"/>
      <c r="G27" s="53"/>
      <c r="H27" s="53"/>
      <c r="I27" s="53"/>
      <c r="J27" s="53"/>
      <c r="K27" s="53"/>
      <c r="N27" s="108">
        <f t="shared" si="3"/>
        <v>0</v>
      </c>
    </row>
    <row r="28" spans="2:14" ht="21.75" customHeight="1">
      <c r="B28" s="51"/>
      <c r="C28" s="55" t="s">
        <v>1</v>
      </c>
      <c r="D28" s="56"/>
      <c r="E28" s="57" t="s">
        <v>212</v>
      </c>
      <c r="F28" s="58">
        <v>8473</v>
      </c>
      <c r="G28" s="59">
        <f>recheck!B35</f>
        <v>389.72</v>
      </c>
      <c r="H28" s="59">
        <f>+F28*G28</f>
        <v>3302097.56</v>
      </c>
      <c r="I28" s="59">
        <v>0</v>
      </c>
      <c r="J28" s="59">
        <f>+F28*I28</f>
        <v>0</v>
      </c>
      <c r="K28" s="59">
        <f>+H28+J28</f>
        <v>3302097.56</v>
      </c>
      <c r="N28" s="108">
        <f t="shared" si="3"/>
        <v>3302097.56</v>
      </c>
    </row>
    <row r="29" spans="2:14" ht="21.75" customHeight="1">
      <c r="B29" s="51"/>
      <c r="C29" s="60" t="s">
        <v>2</v>
      </c>
      <c r="D29" s="56"/>
      <c r="E29" s="57" t="s">
        <v>654</v>
      </c>
      <c r="F29" s="58">
        <v>2542</v>
      </c>
      <c r="G29" s="59">
        <f>recheck!B36</f>
        <v>429.91</v>
      </c>
      <c r="H29" s="59">
        <f>+F29*G29</f>
        <v>1092831.22</v>
      </c>
      <c r="I29" s="59">
        <v>0</v>
      </c>
      <c r="J29" s="59">
        <f>+F29*I29</f>
        <v>0</v>
      </c>
      <c r="K29" s="59">
        <f>+H29+J29</f>
        <v>1092831.22</v>
      </c>
      <c r="N29" s="108">
        <f t="shared" si="3"/>
        <v>1092831.22</v>
      </c>
    </row>
    <row r="30" spans="2:14" ht="21.75" customHeight="1">
      <c r="B30" s="51"/>
      <c r="C30" s="55" t="s">
        <v>3</v>
      </c>
      <c r="D30" s="56"/>
      <c r="E30" s="57" t="s">
        <v>212</v>
      </c>
      <c r="F30" s="58">
        <v>16946</v>
      </c>
      <c r="G30" s="59">
        <v>0</v>
      </c>
      <c r="H30" s="59">
        <f>+F30*G30</f>
        <v>0</v>
      </c>
      <c r="I30" s="59">
        <v>115</v>
      </c>
      <c r="J30" s="59">
        <f>+F30*I30</f>
        <v>1948790</v>
      </c>
      <c r="K30" s="59">
        <f>+H30+J30</f>
        <v>1948790</v>
      </c>
      <c r="N30" s="108">
        <f t="shared" si="3"/>
        <v>1948790</v>
      </c>
    </row>
    <row r="31" spans="2:14" ht="21.75" customHeight="1">
      <c r="B31" s="51">
        <v>12</v>
      </c>
      <c r="C31" s="54" t="s">
        <v>231</v>
      </c>
      <c r="D31" s="54"/>
      <c r="E31" s="52" t="s">
        <v>5</v>
      </c>
      <c r="F31" s="53">
        <f>F30*0.25</f>
        <v>4236.5</v>
      </c>
      <c r="G31" s="53">
        <f>recheck!B37</f>
        <v>25.75397727272727</v>
      </c>
      <c r="H31" s="53">
        <f>F31*G31</f>
        <v>109106.72471590908</v>
      </c>
      <c r="I31" s="53">
        <v>0</v>
      </c>
      <c r="J31" s="53">
        <f>F31*I31</f>
        <v>0</v>
      </c>
      <c r="K31" s="53">
        <f>(G31+I31)*F31</f>
        <v>109106.72471590908</v>
      </c>
      <c r="N31" s="108">
        <f t="shared" si="3"/>
        <v>109106.72471590908</v>
      </c>
    </row>
    <row r="32" spans="2:14" ht="21.75" customHeight="1">
      <c r="B32" s="51">
        <v>13</v>
      </c>
      <c r="C32" s="54" t="s">
        <v>708</v>
      </c>
      <c r="D32" s="54"/>
      <c r="E32" s="52"/>
      <c r="F32" s="53"/>
      <c r="G32" s="53"/>
      <c r="H32" s="53"/>
      <c r="I32" s="53"/>
      <c r="J32" s="53"/>
      <c r="K32" s="53"/>
      <c r="N32" s="108">
        <f t="shared" si="3"/>
        <v>0</v>
      </c>
    </row>
    <row r="33" spans="2:14" ht="21.75" customHeight="1">
      <c r="B33" s="51"/>
      <c r="C33" s="54" t="s">
        <v>710</v>
      </c>
      <c r="D33" s="54"/>
      <c r="E33" s="52" t="s">
        <v>5</v>
      </c>
      <c r="F33" s="53">
        <v>5076</v>
      </c>
      <c r="G33" s="69">
        <f>recheck!B9</f>
        <v>18.525</v>
      </c>
      <c r="H33" s="53">
        <f aca="true" t="shared" si="4" ref="H33:H39">F33*G33</f>
        <v>94032.9</v>
      </c>
      <c r="I33" s="181">
        <v>4.1</v>
      </c>
      <c r="J33" s="53">
        <f aca="true" t="shared" si="5" ref="J33:J39">F33*I33</f>
        <v>20811.6</v>
      </c>
      <c r="K33" s="53">
        <f aca="true" t="shared" si="6" ref="K33:K39">(G33+I33)*F33</f>
        <v>114844.5</v>
      </c>
      <c r="N33" s="108">
        <f t="shared" si="3"/>
        <v>114844.5</v>
      </c>
    </row>
    <row r="34" spans="2:14" ht="21.75" customHeight="1">
      <c r="B34" s="51"/>
      <c r="C34" s="54" t="s">
        <v>711</v>
      </c>
      <c r="D34" s="54"/>
      <c r="E34" s="52" t="s">
        <v>5</v>
      </c>
      <c r="F34" s="53">
        <v>36658</v>
      </c>
      <c r="G34" s="69">
        <f>recheck!B10</f>
        <v>17.886</v>
      </c>
      <c r="H34" s="53">
        <f t="shared" si="4"/>
        <v>655664.988</v>
      </c>
      <c r="I34" s="181">
        <v>4.1</v>
      </c>
      <c r="J34" s="53">
        <f t="shared" si="5"/>
        <v>150297.8</v>
      </c>
      <c r="K34" s="53">
        <f t="shared" si="6"/>
        <v>805962.788</v>
      </c>
      <c r="N34" s="108">
        <f t="shared" si="3"/>
        <v>805962.788</v>
      </c>
    </row>
    <row r="35" spans="2:14" ht="21.75" customHeight="1">
      <c r="B35" s="51">
        <v>14</v>
      </c>
      <c r="C35" s="54" t="s">
        <v>709</v>
      </c>
      <c r="D35" s="54"/>
      <c r="E35" s="52"/>
      <c r="F35" s="53"/>
      <c r="G35" s="61"/>
      <c r="H35" s="53"/>
      <c r="I35" s="181"/>
      <c r="J35" s="53"/>
      <c r="K35" s="53"/>
      <c r="N35" s="108">
        <f t="shared" si="3"/>
        <v>0</v>
      </c>
    </row>
    <row r="36" spans="2:14" ht="21.75" customHeight="1">
      <c r="B36" s="51"/>
      <c r="C36" s="54" t="s">
        <v>712</v>
      </c>
      <c r="D36" s="54"/>
      <c r="E36" s="52" t="s">
        <v>5</v>
      </c>
      <c r="F36" s="53">
        <v>194088</v>
      </c>
      <c r="G36" s="69">
        <f>recheck!B14</f>
        <v>17.31</v>
      </c>
      <c r="H36" s="53">
        <f t="shared" si="4"/>
        <v>3359663.28</v>
      </c>
      <c r="I36" s="181">
        <v>3.3</v>
      </c>
      <c r="J36" s="53">
        <f t="shared" si="5"/>
        <v>640490.4</v>
      </c>
      <c r="K36" s="53">
        <f t="shared" si="6"/>
        <v>4000153.6799999997</v>
      </c>
      <c r="N36" s="108">
        <f t="shared" si="3"/>
        <v>4000153.6799999997</v>
      </c>
    </row>
    <row r="37" spans="2:14" ht="21.75" customHeight="1">
      <c r="B37" s="51"/>
      <c r="C37" s="54" t="s">
        <v>713</v>
      </c>
      <c r="D37" s="54"/>
      <c r="E37" s="52" t="s">
        <v>5</v>
      </c>
      <c r="F37" s="53">
        <v>47051</v>
      </c>
      <c r="G37" s="69">
        <f>recheck!B20</f>
        <v>17.153</v>
      </c>
      <c r="H37" s="53">
        <f>F37*G37</f>
        <v>807065.803</v>
      </c>
      <c r="I37" s="181">
        <v>3.3</v>
      </c>
      <c r="J37" s="53">
        <f>F37*I37</f>
        <v>155268.3</v>
      </c>
      <c r="K37" s="53">
        <f>(G37+I37)*F37</f>
        <v>962334.103</v>
      </c>
      <c r="N37" s="108">
        <f t="shared" si="3"/>
        <v>962334.103</v>
      </c>
    </row>
    <row r="38" spans="2:14" ht="21.75" customHeight="1">
      <c r="B38" s="51"/>
      <c r="C38" s="54" t="s">
        <v>714</v>
      </c>
      <c r="D38" s="54"/>
      <c r="E38" s="52" t="s">
        <v>5</v>
      </c>
      <c r="F38" s="53">
        <v>72614</v>
      </c>
      <c r="G38" s="69">
        <f>recheck!B21</f>
        <v>17.188</v>
      </c>
      <c r="H38" s="53">
        <f>F38*G38</f>
        <v>1248089.432</v>
      </c>
      <c r="I38" s="181">
        <v>2.9</v>
      </c>
      <c r="J38" s="53">
        <f>F38*I38</f>
        <v>210580.6</v>
      </c>
      <c r="K38" s="53">
        <f>(G38+I38)*F38</f>
        <v>1458670.032</v>
      </c>
      <c r="N38" s="108">
        <f t="shared" si="3"/>
        <v>1458670.032</v>
      </c>
    </row>
    <row r="39" spans="2:14" ht="21.75" customHeight="1">
      <c r="B39" s="51"/>
      <c r="C39" s="54" t="s">
        <v>715</v>
      </c>
      <c r="D39" s="54"/>
      <c r="E39" s="52" t="s">
        <v>5</v>
      </c>
      <c r="F39" s="53">
        <v>118050</v>
      </c>
      <c r="G39" s="69">
        <f>recheck!B22</f>
        <v>17.191</v>
      </c>
      <c r="H39" s="53">
        <f t="shared" si="4"/>
        <v>2029397.5499999998</v>
      </c>
      <c r="I39" s="181">
        <v>2.9</v>
      </c>
      <c r="J39" s="53">
        <f t="shared" si="5"/>
        <v>342345</v>
      </c>
      <c r="K39" s="53">
        <f t="shared" si="6"/>
        <v>2371742.55</v>
      </c>
      <c r="N39" s="108">
        <f t="shared" si="3"/>
        <v>2371742.55</v>
      </c>
    </row>
    <row r="40" spans="2:14" ht="21.75" customHeight="1">
      <c r="B40" s="51"/>
      <c r="C40" s="54" t="s">
        <v>885</v>
      </c>
      <c r="D40" s="54"/>
      <c r="E40" s="52" t="s">
        <v>5</v>
      </c>
      <c r="F40" s="53">
        <v>5528</v>
      </c>
      <c r="G40" s="69">
        <f>recheck!B23</f>
        <v>17.191</v>
      </c>
      <c r="H40" s="53">
        <f>F40*G40</f>
        <v>95031.848</v>
      </c>
      <c r="I40" s="181">
        <v>2.9</v>
      </c>
      <c r="J40" s="53">
        <f>F40*I40</f>
        <v>16031.199999999999</v>
      </c>
      <c r="K40" s="53">
        <f>(G40+I40)*F40</f>
        <v>111063.04799999998</v>
      </c>
      <c r="N40" s="108">
        <f t="shared" si="3"/>
        <v>111063.04799999998</v>
      </c>
    </row>
    <row r="41" spans="2:14" ht="21.75" customHeight="1">
      <c r="B41" s="51">
        <v>15</v>
      </c>
      <c r="C41" s="54" t="s">
        <v>232</v>
      </c>
      <c r="D41" s="64"/>
      <c r="E41" s="62" t="s">
        <v>5</v>
      </c>
      <c r="F41" s="53">
        <v>14372</v>
      </c>
      <c r="G41" s="61">
        <f>recheck!B26</f>
        <v>25.7</v>
      </c>
      <c r="H41" s="53">
        <f>F41*G41</f>
        <v>369360.39999999997</v>
      </c>
      <c r="I41" s="181">
        <v>2.9</v>
      </c>
      <c r="J41" s="53">
        <f>F41*I41</f>
        <v>41678.799999999996</v>
      </c>
      <c r="K41" s="53">
        <f>(G41+I41)*F41</f>
        <v>411039.19999999995</v>
      </c>
      <c r="N41" s="108">
        <f t="shared" si="3"/>
        <v>411039.19999999995</v>
      </c>
    </row>
    <row r="42" spans="2:14" ht="21.75" customHeight="1">
      <c r="B42" s="51">
        <v>16</v>
      </c>
      <c r="C42" s="54" t="s">
        <v>329</v>
      </c>
      <c r="D42" s="54"/>
      <c r="E42" s="52" t="s">
        <v>251</v>
      </c>
      <c r="F42" s="53">
        <v>27</v>
      </c>
      <c r="G42" s="53">
        <v>200</v>
      </c>
      <c r="H42" s="53">
        <f>F42*G42</f>
        <v>5400</v>
      </c>
      <c r="I42" s="53">
        <v>30</v>
      </c>
      <c r="J42" s="53">
        <f>F42*I42</f>
        <v>810</v>
      </c>
      <c r="K42" s="53">
        <f>(G42+I42)*F42</f>
        <v>6210</v>
      </c>
      <c r="N42" s="108">
        <f t="shared" si="3"/>
        <v>6210</v>
      </c>
    </row>
    <row r="43" spans="2:14" ht="21.75" customHeight="1">
      <c r="B43" s="51">
        <v>17</v>
      </c>
      <c r="C43" s="54" t="s">
        <v>330</v>
      </c>
      <c r="D43" s="54"/>
      <c r="E43" s="52" t="s">
        <v>716</v>
      </c>
      <c r="F43" s="53">
        <v>685</v>
      </c>
      <c r="G43" s="53">
        <v>30</v>
      </c>
      <c r="H43" s="53">
        <f>F43*G43</f>
        <v>20550</v>
      </c>
      <c r="I43" s="53">
        <v>0</v>
      </c>
      <c r="J43" s="53">
        <f>F43*I43</f>
        <v>0</v>
      </c>
      <c r="K43" s="53">
        <f>(G43+I43)*F43</f>
        <v>20550</v>
      </c>
      <c r="N43" s="108">
        <f t="shared" si="3"/>
        <v>20550</v>
      </c>
    </row>
    <row r="44" spans="2:14" ht="21.75" customHeight="1">
      <c r="B44" s="51">
        <v>18</v>
      </c>
      <c r="C44" s="54" t="s">
        <v>820</v>
      </c>
      <c r="D44" s="54"/>
      <c r="E44" s="52" t="s">
        <v>212</v>
      </c>
      <c r="F44" s="53">
        <v>2570</v>
      </c>
      <c r="G44" s="53">
        <v>60</v>
      </c>
      <c r="H44" s="53">
        <f>F44*G44</f>
        <v>154200</v>
      </c>
      <c r="I44" s="53">
        <v>0</v>
      </c>
      <c r="J44" s="53">
        <f>F44*I44</f>
        <v>0</v>
      </c>
      <c r="K44" s="53">
        <f>(G44+I44)*F44</f>
        <v>154200</v>
      </c>
      <c r="N44" s="108">
        <f>(G44+I44)*F44</f>
        <v>154200</v>
      </c>
    </row>
    <row r="45" spans="2:14" ht="21.75" customHeight="1">
      <c r="B45" s="51"/>
      <c r="C45" s="702" t="s">
        <v>0</v>
      </c>
      <c r="D45" s="703"/>
      <c r="E45" s="52"/>
      <c r="F45" s="53"/>
      <c r="G45" s="53"/>
      <c r="H45" s="53"/>
      <c r="I45" s="53"/>
      <c r="J45" s="53"/>
      <c r="K45" s="53"/>
      <c r="M45" s="65"/>
      <c r="N45" s="108">
        <f t="shared" si="3"/>
        <v>0</v>
      </c>
    </row>
    <row r="46" spans="2:14" ht="21.75" customHeight="1">
      <c r="B46" s="51">
        <v>1</v>
      </c>
      <c r="C46" s="54" t="s">
        <v>653</v>
      </c>
      <c r="D46" s="54"/>
      <c r="E46" s="52" t="s">
        <v>226</v>
      </c>
      <c r="F46" s="53">
        <v>66</v>
      </c>
      <c r="G46" s="53">
        <v>1680</v>
      </c>
      <c r="H46" s="53">
        <f>F46*G46</f>
        <v>110880</v>
      </c>
      <c r="I46" s="53">
        <v>360</v>
      </c>
      <c r="J46" s="53">
        <f>F46*I46</f>
        <v>23760</v>
      </c>
      <c r="K46" s="53">
        <f>(G46+I46)*F46</f>
        <v>134640</v>
      </c>
      <c r="N46" s="108">
        <f t="shared" si="3"/>
        <v>134640</v>
      </c>
    </row>
    <row r="47" spans="2:14" ht="21.75" customHeight="1">
      <c r="B47" s="51">
        <v>2</v>
      </c>
      <c r="C47" s="54" t="s">
        <v>652</v>
      </c>
      <c r="D47" s="54"/>
      <c r="E47" s="52" t="s">
        <v>226</v>
      </c>
      <c r="F47" s="53">
        <v>66</v>
      </c>
      <c r="G47" s="53">
        <v>0</v>
      </c>
      <c r="H47" s="53">
        <f>F47*G47</f>
        <v>0</v>
      </c>
      <c r="I47" s="53">
        <v>200</v>
      </c>
      <c r="J47" s="53">
        <f>F47*I47</f>
        <v>13200</v>
      </c>
      <c r="K47" s="53">
        <f>(G47+I47)*F47</f>
        <v>13200</v>
      </c>
      <c r="N47" s="108">
        <f t="shared" si="3"/>
        <v>13200</v>
      </c>
    </row>
    <row r="48" spans="2:14" ht="21.75" customHeight="1">
      <c r="B48" s="67">
        <v>3</v>
      </c>
      <c r="C48" s="398" t="s">
        <v>227</v>
      </c>
      <c r="D48" s="398"/>
      <c r="E48" s="399" t="s">
        <v>655</v>
      </c>
      <c r="F48" s="68">
        <v>208</v>
      </c>
      <c r="G48" s="68">
        <v>0</v>
      </c>
      <c r="H48" s="68">
        <f>F48*G48</f>
        <v>0</v>
      </c>
      <c r="I48" s="68">
        <v>99</v>
      </c>
      <c r="J48" s="68">
        <f>F48*I48</f>
        <v>20592</v>
      </c>
      <c r="K48" s="68">
        <f>(G48+I48)*F48</f>
        <v>20592</v>
      </c>
      <c r="N48" s="108">
        <f t="shared" si="3"/>
        <v>20592</v>
      </c>
    </row>
    <row r="49" spans="2:14" ht="21.75" customHeight="1">
      <c r="B49" s="1" t="s">
        <v>216</v>
      </c>
      <c r="D49" s="1" t="str">
        <f>+D3</f>
        <v> อาคารผู้ป่วยนอก - อุบัติเหตุ</v>
      </c>
      <c r="N49" s="108">
        <f t="shared" si="3"/>
        <v>0</v>
      </c>
    </row>
    <row r="50" spans="2:14" ht="21.75" customHeight="1">
      <c r="B50" s="1" t="s">
        <v>217</v>
      </c>
      <c r="D50" s="1" t="str">
        <f>+D4</f>
        <v> โรงพยาบาลสรรพสิทธิประสงค์ จ.อุบลราชธานี</v>
      </c>
      <c r="H50" s="1" t="s">
        <v>920</v>
      </c>
      <c r="N50" s="108">
        <f t="shared" si="3"/>
        <v>0</v>
      </c>
    </row>
    <row r="51" spans="2:14" ht="21.75" customHeight="1">
      <c r="B51" s="37" t="s">
        <v>214</v>
      </c>
      <c r="C51" s="707" t="s">
        <v>218</v>
      </c>
      <c r="D51" s="707"/>
      <c r="E51" s="37" t="s">
        <v>219</v>
      </c>
      <c r="F51" s="126" t="s">
        <v>220</v>
      </c>
      <c r="G51" s="701" t="s">
        <v>221</v>
      </c>
      <c r="H51" s="701"/>
      <c r="I51" s="701" t="s">
        <v>222</v>
      </c>
      <c r="J51" s="701"/>
      <c r="K51" s="38" t="s">
        <v>223</v>
      </c>
      <c r="N51" s="108"/>
    </row>
    <row r="52" spans="2:14" ht="21.75" customHeight="1">
      <c r="B52" s="39" t="s">
        <v>209</v>
      </c>
      <c r="C52" s="40"/>
      <c r="D52" s="40"/>
      <c r="E52" s="41"/>
      <c r="F52" s="40"/>
      <c r="G52" s="41" t="s">
        <v>224</v>
      </c>
      <c r="H52" s="41" t="s">
        <v>225</v>
      </c>
      <c r="I52" s="41" t="s">
        <v>224</v>
      </c>
      <c r="J52" s="41" t="s">
        <v>225</v>
      </c>
      <c r="K52" s="42"/>
      <c r="N52" s="108"/>
    </row>
    <row r="53" spans="2:14" ht="21.75" customHeight="1">
      <c r="B53" s="43">
        <v>4</v>
      </c>
      <c r="C53" s="44" t="s">
        <v>228</v>
      </c>
      <c r="D53" s="44"/>
      <c r="E53" s="45" t="s">
        <v>655</v>
      </c>
      <c r="F53" s="479">
        <v>9</v>
      </c>
      <c r="G53" s="479">
        <f>recheck!B31</f>
        <v>322.57</v>
      </c>
      <c r="H53" s="479">
        <f>F53*G53</f>
        <v>2903.13</v>
      </c>
      <c r="I53" s="479">
        <v>91</v>
      </c>
      <c r="J53" s="479">
        <f>F53*I53</f>
        <v>819</v>
      </c>
      <c r="K53" s="479">
        <f>(G53+I53)*F53</f>
        <v>3722.13</v>
      </c>
      <c r="N53" s="108">
        <f>(G53+I53)*F53</f>
        <v>3722.13</v>
      </c>
    </row>
    <row r="54" spans="2:14" ht="21.75" customHeight="1">
      <c r="B54" s="475">
        <v>5</v>
      </c>
      <c r="C54" s="476" t="s">
        <v>6</v>
      </c>
      <c r="D54" s="476"/>
      <c r="E54" s="477" t="s">
        <v>655</v>
      </c>
      <c r="F54" s="478">
        <v>62</v>
      </c>
      <c r="G54" s="478">
        <f>recheck!B4</f>
        <v>2261.68</v>
      </c>
      <c r="H54" s="478">
        <f>F54*G54</f>
        <v>140224.16</v>
      </c>
      <c r="I54" s="478">
        <v>485</v>
      </c>
      <c r="J54" s="478">
        <f>F54*I54</f>
        <v>30070</v>
      </c>
      <c r="K54" s="478">
        <f>(G54+I54)*F54</f>
        <v>170294.16</v>
      </c>
      <c r="N54" s="108">
        <f>(G54+I54)*F54</f>
        <v>170294.16</v>
      </c>
    </row>
    <row r="55" spans="2:14" ht="21.75" customHeight="1">
      <c r="B55" s="51">
        <v>6</v>
      </c>
      <c r="C55" s="54" t="s">
        <v>229</v>
      </c>
      <c r="D55" s="54"/>
      <c r="E55" s="52"/>
      <c r="F55" s="53"/>
      <c r="G55" s="53"/>
      <c r="H55" s="53"/>
      <c r="I55" s="53"/>
      <c r="J55" s="53"/>
      <c r="K55" s="53"/>
      <c r="N55" s="108"/>
    </row>
    <row r="56" spans="2:14" ht="21.75" customHeight="1">
      <c r="B56" s="51"/>
      <c r="C56" s="66" t="s">
        <v>1</v>
      </c>
      <c r="D56" s="56"/>
      <c r="E56" s="57" t="s">
        <v>212</v>
      </c>
      <c r="F56" s="58">
        <v>146</v>
      </c>
      <c r="G56" s="59">
        <f>recheck!B35</f>
        <v>389.72</v>
      </c>
      <c r="H56" s="59">
        <f>+F56*G56</f>
        <v>56899.12</v>
      </c>
      <c r="I56" s="59">
        <v>0</v>
      </c>
      <c r="J56" s="59">
        <f>+F56*I56</f>
        <v>0</v>
      </c>
      <c r="K56" s="59">
        <f>+H56+J56</f>
        <v>56899.12</v>
      </c>
      <c r="N56" s="108">
        <f t="shared" si="3"/>
        <v>56899.12</v>
      </c>
    </row>
    <row r="57" spans="2:14" ht="21.75" customHeight="1">
      <c r="B57" s="51"/>
      <c r="C57" s="60" t="s">
        <v>2</v>
      </c>
      <c r="D57" s="56"/>
      <c r="E57" s="57" t="s">
        <v>654</v>
      </c>
      <c r="F57" s="58">
        <v>44</v>
      </c>
      <c r="G57" s="59">
        <f>recheck!B36</f>
        <v>429.91</v>
      </c>
      <c r="H57" s="59">
        <f>+F57*G57</f>
        <v>18916.04</v>
      </c>
      <c r="I57" s="59">
        <v>0</v>
      </c>
      <c r="J57" s="59">
        <f>+F57*I57</f>
        <v>0</v>
      </c>
      <c r="K57" s="59">
        <f>+H57+J57</f>
        <v>18916.04</v>
      </c>
      <c r="N57" s="108">
        <f t="shared" si="3"/>
        <v>18916.04</v>
      </c>
    </row>
    <row r="58" spans="2:14" ht="21.75" customHeight="1">
      <c r="B58" s="51"/>
      <c r="C58" s="66" t="s">
        <v>3</v>
      </c>
      <c r="D58" s="56"/>
      <c r="E58" s="57" t="s">
        <v>212</v>
      </c>
      <c r="F58" s="53">
        <v>292</v>
      </c>
      <c r="G58" s="59">
        <v>0</v>
      </c>
      <c r="H58" s="59">
        <f>+F58*G58</f>
        <v>0</v>
      </c>
      <c r="I58" s="59">
        <v>115</v>
      </c>
      <c r="J58" s="59">
        <f>+F58*I58</f>
        <v>33580</v>
      </c>
      <c r="K58" s="59">
        <f>+H58+J58</f>
        <v>33580</v>
      </c>
      <c r="N58" s="108">
        <f t="shared" si="3"/>
        <v>33580</v>
      </c>
    </row>
    <row r="59" spans="2:14" ht="21.75" customHeight="1">
      <c r="B59" s="51">
        <v>7</v>
      </c>
      <c r="C59" s="54" t="s">
        <v>231</v>
      </c>
      <c r="D59" s="54"/>
      <c r="E59" s="52" t="s">
        <v>5</v>
      </c>
      <c r="F59" s="53">
        <f>F58*0.25</f>
        <v>73</v>
      </c>
      <c r="G59" s="53">
        <f>recheck!B37</f>
        <v>25.75397727272727</v>
      </c>
      <c r="H59" s="53">
        <f aca="true" t="shared" si="7" ref="H59:H67">F59*G59</f>
        <v>1880.0403409090907</v>
      </c>
      <c r="I59" s="59">
        <v>0</v>
      </c>
      <c r="J59" s="53">
        <f aca="true" t="shared" si="8" ref="J59:J67">F59*I59</f>
        <v>0</v>
      </c>
      <c r="K59" s="53">
        <f aca="true" t="shared" si="9" ref="K59:K64">(G59+I59)*F59</f>
        <v>1880.0403409090907</v>
      </c>
      <c r="N59" s="108">
        <f t="shared" si="3"/>
        <v>1880.0403409090907</v>
      </c>
    </row>
    <row r="60" spans="2:14" ht="21.75" customHeight="1">
      <c r="B60" s="51">
        <v>8</v>
      </c>
      <c r="C60" s="54" t="s">
        <v>916</v>
      </c>
      <c r="D60" s="54"/>
      <c r="E60" s="52" t="s">
        <v>5</v>
      </c>
      <c r="F60" s="53">
        <v>201</v>
      </c>
      <c r="G60" s="69">
        <f>recheck!B9</f>
        <v>18.525</v>
      </c>
      <c r="H60" s="53">
        <f>F60*G60</f>
        <v>3723.5249999999996</v>
      </c>
      <c r="I60" s="181">
        <v>4.1</v>
      </c>
      <c r="J60" s="53">
        <f>F60*I60</f>
        <v>824.0999999999999</v>
      </c>
      <c r="K60" s="53">
        <f>(G60+I60)*F60</f>
        <v>4547.625</v>
      </c>
      <c r="N60" s="108">
        <f>(G60+I60)*F60</f>
        <v>4547.625</v>
      </c>
    </row>
    <row r="61" spans="2:14" ht="21.75" customHeight="1">
      <c r="B61" s="51">
        <v>9</v>
      </c>
      <c r="C61" s="54" t="s">
        <v>709</v>
      </c>
      <c r="D61" s="54"/>
      <c r="E61" s="52"/>
      <c r="F61" s="53"/>
      <c r="G61" s="69"/>
      <c r="H61" s="53"/>
      <c r="I61" s="181"/>
      <c r="J61" s="53"/>
      <c r="K61" s="53"/>
      <c r="N61" s="108">
        <f t="shared" si="3"/>
        <v>0</v>
      </c>
    </row>
    <row r="62" spans="2:14" ht="21.75" customHeight="1">
      <c r="B62" s="51"/>
      <c r="C62" s="54" t="s">
        <v>712</v>
      </c>
      <c r="D62" s="54"/>
      <c r="E62" s="52" t="s">
        <v>5</v>
      </c>
      <c r="F62" s="53">
        <v>3814</v>
      </c>
      <c r="G62" s="69">
        <f>recheck!B14</f>
        <v>17.31</v>
      </c>
      <c r="H62" s="53">
        <f t="shared" si="7"/>
        <v>66020.34</v>
      </c>
      <c r="I62" s="181">
        <v>3.3</v>
      </c>
      <c r="J62" s="53">
        <f t="shared" si="8"/>
        <v>12586.199999999999</v>
      </c>
      <c r="K62" s="53">
        <f t="shared" si="9"/>
        <v>78606.54</v>
      </c>
      <c r="N62" s="108">
        <f t="shared" si="3"/>
        <v>78606.54</v>
      </c>
    </row>
    <row r="63" spans="2:14" ht="21.75" customHeight="1">
      <c r="B63" s="51"/>
      <c r="C63" s="54" t="s">
        <v>713</v>
      </c>
      <c r="D63" s="54"/>
      <c r="E63" s="52" t="s">
        <v>5</v>
      </c>
      <c r="F63" s="53">
        <v>3812</v>
      </c>
      <c r="G63" s="69">
        <f>recheck!B15</f>
        <v>17.153</v>
      </c>
      <c r="H63" s="53">
        <f t="shared" si="7"/>
        <v>65387.236</v>
      </c>
      <c r="I63" s="181">
        <v>3.3</v>
      </c>
      <c r="J63" s="53">
        <f t="shared" si="8"/>
        <v>12579.599999999999</v>
      </c>
      <c r="K63" s="53">
        <f t="shared" si="9"/>
        <v>77966.836</v>
      </c>
      <c r="N63" s="108">
        <f t="shared" si="3"/>
        <v>77966.836</v>
      </c>
    </row>
    <row r="64" spans="2:14" ht="21.75" customHeight="1">
      <c r="B64" s="51"/>
      <c r="C64" s="54" t="s">
        <v>714</v>
      </c>
      <c r="D64" s="54"/>
      <c r="E64" s="52" t="s">
        <v>5</v>
      </c>
      <c r="F64" s="53">
        <v>559</v>
      </c>
      <c r="G64" s="69">
        <f>recheck!B16</f>
        <v>17.188</v>
      </c>
      <c r="H64" s="53">
        <f t="shared" si="7"/>
        <v>9608.091999999999</v>
      </c>
      <c r="I64" s="181">
        <v>2.9</v>
      </c>
      <c r="J64" s="53">
        <f t="shared" si="8"/>
        <v>1621.1</v>
      </c>
      <c r="K64" s="53">
        <f t="shared" si="9"/>
        <v>11229.192</v>
      </c>
      <c r="N64" s="108">
        <f t="shared" si="3"/>
        <v>11229.192</v>
      </c>
    </row>
    <row r="65" spans="2:14" ht="21.75" customHeight="1">
      <c r="B65" s="51">
        <v>10</v>
      </c>
      <c r="C65" s="54" t="s">
        <v>232</v>
      </c>
      <c r="D65" s="64"/>
      <c r="E65" s="52" t="s">
        <v>5</v>
      </c>
      <c r="F65" s="53">
        <v>252</v>
      </c>
      <c r="G65" s="61">
        <f>recheck!B26</f>
        <v>25.7</v>
      </c>
      <c r="H65" s="53">
        <f t="shared" si="7"/>
        <v>6476.4</v>
      </c>
      <c r="I65" s="53">
        <v>0</v>
      </c>
      <c r="J65" s="53">
        <f t="shared" si="8"/>
        <v>0</v>
      </c>
      <c r="K65" s="53">
        <f>(G65+I65)*F65</f>
        <v>6476.4</v>
      </c>
      <c r="N65" s="108">
        <f t="shared" si="3"/>
        <v>6476.4</v>
      </c>
    </row>
    <row r="66" spans="2:14" ht="21.75" customHeight="1">
      <c r="B66" s="51">
        <v>11</v>
      </c>
      <c r="C66" s="54" t="s">
        <v>7</v>
      </c>
      <c r="D66" s="54"/>
      <c r="E66" s="52" t="s">
        <v>251</v>
      </c>
      <c r="F66" s="53">
        <v>30</v>
      </c>
      <c r="G66" s="53">
        <v>180</v>
      </c>
      <c r="H66" s="53">
        <f t="shared" si="7"/>
        <v>5400</v>
      </c>
      <c r="I66" s="53">
        <v>30</v>
      </c>
      <c r="J66" s="53">
        <f t="shared" si="8"/>
        <v>900</v>
      </c>
      <c r="K66" s="53">
        <f>(G66+I66)*F66</f>
        <v>6300</v>
      </c>
      <c r="N66" s="108">
        <f t="shared" si="3"/>
        <v>6300</v>
      </c>
    </row>
    <row r="67" spans="2:14" ht="21.75" customHeight="1">
      <c r="B67" s="51">
        <v>12</v>
      </c>
      <c r="C67" s="54" t="s">
        <v>330</v>
      </c>
      <c r="D67" s="54"/>
      <c r="E67" s="52" t="s">
        <v>716</v>
      </c>
      <c r="F67" s="53">
        <v>310</v>
      </c>
      <c r="G67" s="53">
        <v>30</v>
      </c>
      <c r="H67" s="53">
        <f t="shared" si="7"/>
        <v>9300</v>
      </c>
      <c r="I67" s="53">
        <v>0</v>
      </c>
      <c r="J67" s="53">
        <f t="shared" si="8"/>
        <v>0</v>
      </c>
      <c r="K67" s="53">
        <f>(G67+I67)*F67</f>
        <v>9300</v>
      </c>
      <c r="N67" s="108">
        <f t="shared" si="3"/>
        <v>9300</v>
      </c>
    </row>
    <row r="68" spans="2:14" ht="21.75" customHeight="1">
      <c r="B68" s="51"/>
      <c r="C68" s="54"/>
      <c r="D68" s="54"/>
      <c r="E68" s="52"/>
      <c r="F68" s="53"/>
      <c r="G68" s="53"/>
      <c r="H68" s="53"/>
      <c r="I68" s="53"/>
      <c r="J68" s="53"/>
      <c r="K68" s="53"/>
      <c r="N68" s="108">
        <f t="shared" si="3"/>
        <v>0</v>
      </c>
    </row>
    <row r="69" spans="2:14" ht="21.75" customHeight="1">
      <c r="B69" s="51"/>
      <c r="C69" s="702" t="s">
        <v>234</v>
      </c>
      <c r="D69" s="703"/>
      <c r="E69" s="70"/>
      <c r="F69" s="71"/>
      <c r="G69" s="71"/>
      <c r="H69" s="71">
        <f>SUM(H15:H68)</f>
        <v>26756463.229056817</v>
      </c>
      <c r="I69" s="71"/>
      <c r="J69" s="71">
        <f>SUM(J15:J68)</f>
        <v>5652884.699999998</v>
      </c>
      <c r="K69" s="71">
        <f>SUM(K15:K68)</f>
        <v>32409347.929056816</v>
      </c>
      <c r="M69" s="65">
        <f>SUM(H69,J69)</f>
        <v>32409347.929056816</v>
      </c>
      <c r="N69" s="108">
        <f t="shared" si="3"/>
        <v>0</v>
      </c>
    </row>
    <row r="70" spans="2:14" ht="21.75" customHeight="1">
      <c r="B70" s="51"/>
      <c r="C70" s="72"/>
      <c r="D70" s="72"/>
      <c r="E70" s="70"/>
      <c r="F70" s="71"/>
      <c r="G70" s="71"/>
      <c r="H70" s="71"/>
      <c r="I70" s="71"/>
      <c r="J70" s="71"/>
      <c r="K70" s="71"/>
      <c r="M70" s="65"/>
      <c r="N70" s="108">
        <f t="shared" si="3"/>
        <v>0</v>
      </c>
    </row>
    <row r="71" spans="2:14" ht="21.75" customHeight="1">
      <c r="B71" s="51"/>
      <c r="C71" s="73" t="s">
        <v>659</v>
      </c>
      <c r="D71" s="54"/>
      <c r="E71" s="52"/>
      <c r="F71" s="53"/>
      <c r="G71" s="53"/>
      <c r="H71" s="53"/>
      <c r="I71" s="53"/>
      <c r="J71" s="53"/>
      <c r="K71" s="53"/>
      <c r="N71" s="108">
        <f t="shared" si="3"/>
        <v>0</v>
      </c>
    </row>
    <row r="72" spans="2:14" ht="21.75" customHeight="1">
      <c r="B72" s="51"/>
      <c r="C72" s="704" t="s">
        <v>660</v>
      </c>
      <c r="D72" s="705"/>
      <c r="E72" s="52"/>
      <c r="F72" s="53"/>
      <c r="G72" s="53"/>
      <c r="H72" s="53"/>
      <c r="I72" s="53"/>
      <c r="J72" s="53"/>
      <c r="K72" s="53"/>
      <c r="N72" s="108">
        <f t="shared" si="3"/>
        <v>0</v>
      </c>
    </row>
    <row r="73" spans="2:14" ht="21.75" customHeight="1">
      <c r="B73" s="51">
        <v>1</v>
      </c>
      <c r="C73" s="54" t="s">
        <v>502</v>
      </c>
      <c r="D73" s="54"/>
      <c r="E73" s="52" t="s">
        <v>5</v>
      </c>
      <c r="F73" s="53">
        <f>32*44.8</f>
        <v>1433.6</v>
      </c>
      <c r="G73" s="61">
        <v>21.5</v>
      </c>
      <c r="H73" s="53">
        <f aca="true" t="shared" si="10" ref="H73:H87">F73*G73</f>
        <v>30822.399999999998</v>
      </c>
      <c r="I73" s="53">
        <v>10</v>
      </c>
      <c r="J73" s="53">
        <f aca="true" t="shared" si="11" ref="J73:J82">F73*I73</f>
        <v>14336</v>
      </c>
      <c r="K73" s="53">
        <f aca="true" t="shared" si="12" ref="K73:K82">(G73+I73)*F73</f>
        <v>45158.399999999994</v>
      </c>
      <c r="N73" s="108">
        <f t="shared" si="3"/>
        <v>45158.399999999994</v>
      </c>
    </row>
    <row r="74" spans="2:14" ht="21.75" customHeight="1">
      <c r="B74" s="51">
        <v>2</v>
      </c>
      <c r="C74" s="54" t="s">
        <v>503</v>
      </c>
      <c r="D74" s="54"/>
      <c r="E74" s="52" t="s">
        <v>5</v>
      </c>
      <c r="F74" s="53">
        <f>18*36.5</f>
        <v>657</v>
      </c>
      <c r="G74" s="61">
        <v>21.5</v>
      </c>
      <c r="H74" s="53">
        <f t="shared" si="10"/>
        <v>14125.5</v>
      </c>
      <c r="I74" s="53">
        <v>10</v>
      </c>
      <c r="J74" s="53">
        <f t="shared" si="11"/>
        <v>6570</v>
      </c>
      <c r="K74" s="53">
        <f t="shared" si="12"/>
        <v>20695.5</v>
      </c>
      <c r="N74" s="108">
        <f t="shared" si="3"/>
        <v>20695.5</v>
      </c>
    </row>
    <row r="75" spans="2:14" ht="21.75" customHeight="1">
      <c r="B75" s="51">
        <v>3</v>
      </c>
      <c r="C75" s="54" t="s">
        <v>504</v>
      </c>
      <c r="D75" s="54"/>
      <c r="E75" s="52" t="s">
        <v>5</v>
      </c>
      <c r="F75" s="53">
        <f>185*49.5</f>
        <v>9157.5</v>
      </c>
      <c r="G75" s="61">
        <v>21.5</v>
      </c>
      <c r="H75" s="53">
        <f t="shared" si="10"/>
        <v>196886.25</v>
      </c>
      <c r="I75" s="53">
        <v>10</v>
      </c>
      <c r="J75" s="53">
        <f t="shared" si="11"/>
        <v>91575</v>
      </c>
      <c r="K75" s="53">
        <f t="shared" si="12"/>
        <v>288461.25</v>
      </c>
      <c r="N75" s="108">
        <f t="shared" si="3"/>
        <v>288461.25</v>
      </c>
    </row>
    <row r="76" spans="2:14" ht="21.75" customHeight="1">
      <c r="B76" s="51">
        <v>4</v>
      </c>
      <c r="C76" s="54" t="s">
        <v>331</v>
      </c>
      <c r="D76" s="54"/>
      <c r="E76" s="52" t="s">
        <v>5</v>
      </c>
      <c r="F76" s="53">
        <f>64*32.8</f>
        <v>2099.2</v>
      </c>
      <c r="G76" s="61">
        <v>21.5</v>
      </c>
      <c r="H76" s="53">
        <f t="shared" si="10"/>
        <v>45132.799999999996</v>
      </c>
      <c r="I76" s="53">
        <v>10</v>
      </c>
      <c r="J76" s="53">
        <f t="shared" si="11"/>
        <v>20992</v>
      </c>
      <c r="K76" s="53">
        <f t="shared" si="12"/>
        <v>66124.79999999999</v>
      </c>
      <c r="N76" s="108">
        <f t="shared" si="3"/>
        <v>66124.79999999999</v>
      </c>
    </row>
    <row r="77" spans="2:14" ht="21.75" customHeight="1">
      <c r="B77" s="51">
        <v>5</v>
      </c>
      <c r="C77" s="54" t="s">
        <v>505</v>
      </c>
      <c r="D77" s="54"/>
      <c r="E77" s="52" t="s">
        <v>236</v>
      </c>
      <c r="F77" s="53">
        <v>6687</v>
      </c>
      <c r="G77" s="53">
        <v>47</v>
      </c>
      <c r="H77" s="53">
        <f t="shared" si="10"/>
        <v>314289</v>
      </c>
      <c r="I77" s="53">
        <v>5</v>
      </c>
      <c r="J77" s="53">
        <f t="shared" si="11"/>
        <v>33435</v>
      </c>
      <c r="K77" s="53">
        <f t="shared" si="12"/>
        <v>347724</v>
      </c>
      <c r="N77" s="108">
        <f t="shared" si="3"/>
        <v>347724</v>
      </c>
    </row>
    <row r="78" spans="2:14" ht="21.75" customHeight="1">
      <c r="B78" s="51">
        <v>6</v>
      </c>
      <c r="C78" s="54" t="s">
        <v>507</v>
      </c>
      <c r="D78" s="54"/>
      <c r="E78" s="52" t="s">
        <v>230</v>
      </c>
      <c r="F78" s="53">
        <v>1338</v>
      </c>
      <c r="G78" s="53">
        <v>210</v>
      </c>
      <c r="H78" s="53">
        <f t="shared" si="10"/>
        <v>280980</v>
      </c>
      <c r="I78" s="53">
        <v>80</v>
      </c>
      <c r="J78" s="53">
        <f t="shared" si="11"/>
        <v>107040</v>
      </c>
      <c r="K78" s="53">
        <f t="shared" si="12"/>
        <v>388020</v>
      </c>
      <c r="N78" s="108">
        <f t="shared" si="3"/>
        <v>388020</v>
      </c>
    </row>
    <row r="79" spans="2:14" ht="21.75" customHeight="1">
      <c r="B79" s="51">
        <v>7</v>
      </c>
      <c r="C79" s="54" t="s">
        <v>508</v>
      </c>
      <c r="D79" s="54"/>
      <c r="E79" s="52" t="s">
        <v>236</v>
      </c>
      <c r="F79" s="53">
        <v>122</v>
      </c>
      <c r="G79" s="53">
        <v>70</v>
      </c>
      <c r="H79" s="53">
        <f t="shared" si="10"/>
        <v>8540</v>
      </c>
      <c r="I79" s="53">
        <v>80</v>
      </c>
      <c r="J79" s="53">
        <f t="shared" si="11"/>
        <v>9760</v>
      </c>
      <c r="K79" s="53">
        <f t="shared" si="12"/>
        <v>18300</v>
      </c>
      <c r="N79" s="108">
        <f t="shared" si="3"/>
        <v>18300</v>
      </c>
    </row>
    <row r="80" spans="2:14" ht="21.75" customHeight="1">
      <c r="B80" s="51">
        <v>8</v>
      </c>
      <c r="C80" s="54" t="s">
        <v>509</v>
      </c>
      <c r="D80" s="54"/>
      <c r="E80" s="52" t="s">
        <v>236</v>
      </c>
      <c r="F80" s="53">
        <v>24</v>
      </c>
      <c r="G80" s="53">
        <v>70</v>
      </c>
      <c r="H80" s="53">
        <f t="shared" si="10"/>
        <v>1680</v>
      </c>
      <c r="I80" s="53">
        <v>80</v>
      </c>
      <c r="J80" s="53">
        <f t="shared" si="11"/>
        <v>1920</v>
      </c>
      <c r="K80" s="53">
        <f t="shared" si="12"/>
        <v>3600</v>
      </c>
      <c r="N80" s="108">
        <f t="shared" si="3"/>
        <v>3600</v>
      </c>
    </row>
    <row r="81" spans="2:14" ht="21.75" customHeight="1">
      <c r="B81" s="51">
        <v>9</v>
      </c>
      <c r="C81" s="54" t="s">
        <v>506</v>
      </c>
      <c r="D81" s="54"/>
      <c r="E81" s="52" t="s">
        <v>236</v>
      </c>
      <c r="F81" s="53">
        <v>80</v>
      </c>
      <c r="G81" s="53">
        <v>320</v>
      </c>
      <c r="H81" s="53">
        <f t="shared" si="10"/>
        <v>25600</v>
      </c>
      <c r="I81" s="53">
        <v>110</v>
      </c>
      <c r="J81" s="53">
        <f t="shared" si="11"/>
        <v>8800</v>
      </c>
      <c r="K81" s="53">
        <f t="shared" si="12"/>
        <v>34400</v>
      </c>
      <c r="N81" s="108">
        <f aca="true" t="shared" si="13" ref="N81:N140">(G81+I81)*F81</f>
        <v>34400</v>
      </c>
    </row>
    <row r="82" spans="2:14" ht="21.75" customHeight="1">
      <c r="B82" s="51">
        <v>10</v>
      </c>
      <c r="C82" s="54" t="s">
        <v>511</v>
      </c>
      <c r="D82" s="54"/>
      <c r="E82" s="52" t="s">
        <v>236</v>
      </c>
      <c r="F82" s="53">
        <v>264</v>
      </c>
      <c r="G82" s="53">
        <v>300</v>
      </c>
      <c r="H82" s="53">
        <f t="shared" si="10"/>
        <v>79200</v>
      </c>
      <c r="I82" s="53">
        <v>94</v>
      </c>
      <c r="J82" s="53">
        <f t="shared" si="11"/>
        <v>24816</v>
      </c>
      <c r="K82" s="53">
        <f t="shared" si="12"/>
        <v>104016</v>
      </c>
      <c r="N82" s="108">
        <f t="shared" si="13"/>
        <v>104016</v>
      </c>
    </row>
    <row r="83" spans="2:14" ht="21.75" customHeight="1">
      <c r="B83" s="51">
        <v>11</v>
      </c>
      <c r="C83" s="54" t="s">
        <v>165</v>
      </c>
      <c r="D83" s="54"/>
      <c r="E83" s="52" t="s">
        <v>230</v>
      </c>
      <c r="F83" s="53">
        <v>1338</v>
      </c>
      <c r="G83" s="53">
        <v>200</v>
      </c>
      <c r="H83" s="53">
        <f t="shared" si="10"/>
        <v>267600</v>
      </c>
      <c r="I83" s="53">
        <v>0</v>
      </c>
      <c r="J83" s="53">
        <f>F83*I83</f>
        <v>0</v>
      </c>
      <c r="K83" s="53">
        <f>(G83+I83)*F83</f>
        <v>267600</v>
      </c>
      <c r="N83" s="108">
        <f t="shared" si="13"/>
        <v>267600</v>
      </c>
    </row>
    <row r="84" spans="2:14" ht="21.75" customHeight="1">
      <c r="B84" s="51">
        <v>12</v>
      </c>
      <c r="C84" s="54" t="s">
        <v>510</v>
      </c>
      <c r="D84" s="54"/>
      <c r="E84" s="52" t="s">
        <v>230</v>
      </c>
      <c r="F84" s="53">
        <v>935</v>
      </c>
      <c r="G84" s="53">
        <v>70</v>
      </c>
      <c r="H84" s="53">
        <f>F84*G84</f>
        <v>65450</v>
      </c>
      <c r="I84" s="53">
        <v>25</v>
      </c>
      <c r="J84" s="53">
        <f>F84*I84</f>
        <v>23375</v>
      </c>
      <c r="K84" s="53">
        <f>(G84+I84)*F84</f>
        <v>88825</v>
      </c>
      <c r="N84" s="108">
        <f t="shared" si="13"/>
        <v>88825</v>
      </c>
    </row>
    <row r="85" spans="2:14" ht="21.75" customHeight="1">
      <c r="B85" s="51">
        <v>13</v>
      </c>
      <c r="C85" s="54" t="s">
        <v>622</v>
      </c>
      <c r="D85" s="54"/>
      <c r="E85" s="52" t="s">
        <v>230</v>
      </c>
      <c r="F85" s="53">
        <v>935</v>
      </c>
      <c r="G85" s="53">
        <v>50</v>
      </c>
      <c r="H85" s="53">
        <f>F85*G85</f>
        <v>46750</v>
      </c>
      <c r="I85" s="53">
        <v>0</v>
      </c>
      <c r="J85" s="53">
        <f>F85*I85</f>
        <v>0</v>
      </c>
      <c r="K85" s="53">
        <f>(G85+I85)*F85</f>
        <v>46750</v>
      </c>
      <c r="N85" s="108">
        <f t="shared" si="13"/>
        <v>46750</v>
      </c>
    </row>
    <row r="86" spans="2:14" ht="21.75" customHeight="1">
      <c r="B86" s="51"/>
      <c r="C86" s="73" t="s">
        <v>9</v>
      </c>
      <c r="D86" s="54"/>
      <c r="E86" s="52"/>
      <c r="F86" s="53"/>
      <c r="G86" s="53"/>
      <c r="H86" s="53"/>
      <c r="I86" s="53"/>
      <c r="J86" s="53"/>
      <c r="K86" s="53"/>
      <c r="N86" s="108">
        <f t="shared" si="13"/>
        <v>0</v>
      </c>
    </row>
    <row r="87" spans="2:14" ht="21.75" customHeight="1">
      <c r="B87" s="51">
        <v>1</v>
      </c>
      <c r="C87" s="54" t="s">
        <v>8</v>
      </c>
      <c r="D87" s="54"/>
      <c r="E87" s="52" t="s">
        <v>5</v>
      </c>
      <c r="F87" s="53">
        <f>11*40.3</f>
        <v>443.29999999999995</v>
      </c>
      <c r="G87" s="61">
        <v>21.5</v>
      </c>
      <c r="H87" s="53">
        <f t="shared" si="10"/>
        <v>9530.949999999999</v>
      </c>
      <c r="I87" s="53">
        <v>10</v>
      </c>
      <c r="J87" s="53">
        <f aca="true" t="shared" si="14" ref="J87:J93">F87*I87</f>
        <v>4433</v>
      </c>
      <c r="K87" s="53">
        <f aca="true" t="shared" si="15" ref="K87:K93">(G87+I87)*F87</f>
        <v>13963.949999999999</v>
      </c>
      <c r="N87" s="108">
        <f t="shared" si="13"/>
        <v>13963.949999999999</v>
      </c>
    </row>
    <row r="88" spans="2:14" ht="21.75" customHeight="1">
      <c r="B88" s="51">
        <v>2</v>
      </c>
      <c r="C88" s="54" t="s">
        <v>503</v>
      </c>
      <c r="D88" s="54"/>
      <c r="E88" s="52" t="s">
        <v>5</v>
      </c>
      <c r="F88" s="53">
        <f>16*36.5</f>
        <v>584</v>
      </c>
      <c r="G88" s="61">
        <v>21.5</v>
      </c>
      <c r="H88" s="53">
        <f aca="true" t="shared" si="16" ref="H88:H93">F88*G88</f>
        <v>12556</v>
      </c>
      <c r="I88" s="53">
        <v>10</v>
      </c>
      <c r="J88" s="53">
        <f t="shared" si="14"/>
        <v>5840</v>
      </c>
      <c r="K88" s="53">
        <f t="shared" si="15"/>
        <v>18396</v>
      </c>
      <c r="N88" s="108">
        <f t="shared" si="13"/>
        <v>18396</v>
      </c>
    </row>
    <row r="89" spans="2:14" ht="21.75" customHeight="1">
      <c r="B89" s="51">
        <v>3</v>
      </c>
      <c r="C89" s="54" t="s">
        <v>505</v>
      </c>
      <c r="D89" s="54"/>
      <c r="E89" s="52" t="s">
        <v>236</v>
      </c>
      <c r="F89" s="53">
        <v>588</v>
      </c>
      <c r="G89" s="53">
        <v>47</v>
      </c>
      <c r="H89" s="53">
        <f t="shared" si="16"/>
        <v>27636</v>
      </c>
      <c r="I89" s="53">
        <v>5</v>
      </c>
      <c r="J89" s="53">
        <f t="shared" si="14"/>
        <v>2940</v>
      </c>
      <c r="K89" s="53">
        <f t="shared" si="15"/>
        <v>30576</v>
      </c>
      <c r="N89" s="108">
        <f t="shared" si="13"/>
        <v>30576</v>
      </c>
    </row>
    <row r="90" spans="2:14" ht="21.75" customHeight="1">
      <c r="B90" s="51">
        <v>4</v>
      </c>
      <c r="C90" s="54" t="s">
        <v>507</v>
      </c>
      <c r="D90" s="54"/>
      <c r="E90" s="52" t="s">
        <v>230</v>
      </c>
      <c r="F90" s="53">
        <v>118</v>
      </c>
      <c r="G90" s="53">
        <v>210</v>
      </c>
      <c r="H90" s="53">
        <f t="shared" si="16"/>
        <v>24780</v>
      </c>
      <c r="I90" s="53">
        <v>80</v>
      </c>
      <c r="J90" s="53">
        <f t="shared" si="14"/>
        <v>9440</v>
      </c>
      <c r="K90" s="53">
        <f t="shared" si="15"/>
        <v>34220</v>
      </c>
      <c r="N90" s="108">
        <f t="shared" si="13"/>
        <v>34220</v>
      </c>
    </row>
    <row r="91" spans="2:14" ht="21.75" customHeight="1">
      <c r="B91" s="51">
        <v>5</v>
      </c>
      <c r="C91" s="54" t="s">
        <v>10</v>
      </c>
      <c r="D91" s="54"/>
      <c r="E91" s="52" t="s">
        <v>236</v>
      </c>
      <c r="F91" s="53">
        <v>40</v>
      </c>
      <c r="G91" s="53">
        <v>250</v>
      </c>
      <c r="H91" s="53">
        <f t="shared" si="16"/>
        <v>10000</v>
      </c>
      <c r="I91" s="53">
        <v>45</v>
      </c>
      <c r="J91" s="53">
        <f t="shared" si="14"/>
        <v>1800</v>
      </c>
      <c r="K91" s="53">
        <f t="shared" si="15"/>
        <v>11800</v>
      </c>
      <c r="N91" s="108">
        <f t="shared" si="13"/>
        <v>11800</v>
      </c>
    </row>
    <row r="92" spans="2:14" ht="21.75" customHeight="1">
      <c r="B92" s="51">
        <v>6</v>
      </c>
      <c r="C92" s="54" t="s">
        <v>508</v>
      </c>
      <c r="D92" s="54"/>
      <c r="E92" s="52" t="s">
        <v>236</v>
      </c>
      <c r="F92" s="53">
        <v>32</v>
      </c>
      <c r="G92" s="53">
        <v>70</v>
      </c>
      <c r="H92" s="53">
        <f t="shared" si="16"/>
        <v>2240</v>
      </c>
      <c r="I92" s="53">
        <v>80</v>
      </c>
      <c r="J92" s="53">
        <f t="shared" si="14"/>
        <v>2560</v>
      </c>
      <c r="K92" s="53">
        <f t="shared" si="15"/>
        <v>4800</v>
      </c>
      <c r="N92" s="108">
        <f t="shared" si="13"/>
        <v>4800</v>
      </c>
    </row>
    <row r="93" spans="2:14" ht="21.75" customHeight="1">
      <c r="B93" s="51">
        <v>7</v>
      </c>
      <c r="C93" s="54" t="s">
        <v>165</v>
      </c>
      <c r="D93" s="54"/>
      <c r="E93" s="52" t="s">
        <v>230</v>
      </c>
      <c r="F93" s="53">
        <v>118</v>
      </c>
      <c r="G93" s="53">
        <v>200</v>
      </c>
      <c r="H93" s="53">
        <f t="shared" si="16"/>
        <v>23600</v>
      </c>
      <c r="I93" s="53">
        <v>0</v>
      </c>
      <c r="J93" s="53">
        <f t="shared" si="14"/>
        <v>0</v>
      </c>
      <c r="K93" s="53">
        <f t="shared" si="15"/>
        <v>23600</v>
      </c>
      <c r="N93" s="108">
        <f t="shared" si="13"/>
        <v>23600</v>
      </c>
    </row>
    <row r="94" spans="2:14" ht="21.75" customHeight="1">
      <c r="B94" s="51"/>
      <c r="C94" s="54"/>
      <c r="D94" s="54"/>
      <c r="E94" s="52"/>
      <c r="F94" s="53"/>
      <c r="G94" s="53"/>
      <c r="H94" s="53"/>
      <c r="I94" s="53"/>
      <c r="J94" s="53"/>
      <c r="K94" s="53"/>
      <c r="N94" s="108">
        <f t="shared" si="13"/>
        <v>0</v>
      </c>
    </row>
    <row r="95" spans="2:14" ht="21.75" customHeight="1">
      <c r="B95" s="51"/>
      <c r="C95" s="702" t="s">
        <v>234</v>
      </c>
      <c r="D95" s="703"/>
      <c r="E95" s="70"/>
      <c r="F95" s="71"/>
      <c r="G95" s="71"/>
      <c r="H95" s="71">
        <f>SUM(H73:H93)</f>
        <v>1487398.9</v>
      </c>
      <c r="I95" s="71"/>
      <c r="J95" s="71">
        <f>SUM(J73:J93)</f>
        <v>369632</v>
      </c>
      <c r="K95" s="71">
        <f>SUM(K73:K93)</f>
        <v>1857030.9</v>
      </c>
      <c r="M95" s="65">
        <f>SUM(H95,J95)</f>
        <v>1857030.9</v>
      </c>
      <c r="N95" s="108">
        <f t="shared" si="13"/>
        <v>0</v>
      </c>
    </row>
    <row r="96" spans="2:14" ht="21.75" customHeight="1">
      <c r="B96" s="51"/>
      <c r="C96" s="702" t="s">
        <v>191</v>
      </c>
      <c r="D96" s="703"/>
      <c r="E96" s="52"/>
      <c r="F96" s="53"/>
      <c r="G96" s="53"/>
      <c r="H96" s="53"/>
      <c r="I96" s="53"/>
      <c r="J96" s="53"/>
      <c r="K96" s="53"/>
      <c r="N96" s="108">
        <f t="shared" si="13"/>
        <v>0</v>
      </c>
    </row>
    <row r="97" spans="2:14" ht="21.75" customHeight="1">
      <c r="B97" s="51">
        <v>1</v>
      </c>
      <c r="C97" s="54" t="s">
        <v>235</v>
      </c>
      <c r="D97" s="54"/>
      <c r="E97" s="52"/>
      <c r="F97" s="53"/>
      <c r="G97" s="53"/>
      <c r="H97" s="53"/>
      <c r="I97" s="53"/>
      <c r="J97" s="53"/>
      <c r="K97" s="53"/>
      <c r="N97" s="108">
        <f t="shared" si="13"/>
        <v>0</v>
      </c>
    </row>
    <row r="98" spans="2:14" ht="21.75" customHeight="1">
      <c r="B98" s="51"/>
      <c r="C98" s="54" t="s">
        <v>332</v>
      </c>
      <c r="D98" s="54"/>
      <c r="E98" s="52" t="s">
        <v>230</v>
      </c>
      <c r="F98" s="53">
        <v>3126</v>
      </c>
      <c r="G98" s="53">
        <v>300</v>
      </c>
      <c r="H98" s="53">
        <f>F98*G98</f>
        <v>937800</v>
      </c>
      <c r="I98" s="53">
        <v>75</v>
      </c>
      <c r="J98" s="53">
        <f>F98*I98</f>
        <v>234450</v>
      </c>
      <c r="K98" s="53">
        <f>(G98+I98)*F98</f>
        <v>1172250</v>
      </c>
      <c r="N98" s="108">
        <f t="shared" si="13"/>
        <v>1172250</v>
      </c>
    </row>
    <row r="99" spans="2:14" ht="21.75" customHeight="1">
      <c r="B99" s="51">
        <v>2</v>
      </c>
      <c r="C99" s="54" t="s">
        <v>718</v>
      </c>
      <c r="D99" s="54"/>
      <c r="E99" s="52" t="s">
        <v>251</v>
      </c>
      <c r="F99" s="53">
        <v>425</v>
      </c>
      <c r="G99" s="53">
        <v>200</v>
      </c>
      <c r="H99" s="53">
        <f>F99*G99</f>
        <v>85000</v>
      </c>
      <c r="I99" s="53">
        <v>60</v>
      </c>
      <c r="J99" s="53">
        <f>F99*I99</f>
        <v>25500</v>
      </c>
      <c r="K99" s="53">
        <f>(G99+I99)*F99</f>
        <v>110500</v>
      </c>
      <c r="N99" s="108">
        <f t="shared" si="13"/>
        <v>110500</v>
      </c>
    </row>
    <row r="100" spans="2:14" ht="21.75" customHeight="1">
      <c r="B100" s="51">
        <v>3</v>
      </c>
      <c r="C100" s="54" t="s">
        <v>333</v>
      </c>
      <c r="D100" s="54"/>
      <c r="E100" s="52"/>
      <c r="F100" s="53"/>
      <c r="G100" s="53"/>
      <c r="H100" s="53"/>
      <c r="I100" s="53"/>
      <c r="J100" s="53"/>
      <c r="K100" s="53"/>
      <c r="N100" s="108">
        <f t="shared" si="13"/>
        <v>0</v>
      </c>
    </row>
    <row r="101" spans="2:14" ht="21.75" customHeight="1">
      <c r="B101" s="51"/>
      <c r="C101" s="54" t="s">
        <v>334</v>
      </c>
      <c r="D101" s="54"/>
      <c r="E101" s="52" t="s">
        <v>230</v>
      </c>
      <c r="F101" s="53">
        <v>658</v>
      </c>
      <c r="G101" s="53">
        <v>420</v>
      </c>
      <c r="H101" s="53">
        <f aca="true" t="shared" si="17" ref="H101:H106">F101*G101</f>
        <v>276360</v>
      </c>
      <c r="I101" s="53">
        <v>52</v>
      </c>
      <c r="J101" s="53">
        <f aca="true" t="shared" si="18" ref="J101:J106">F101*I101</f>
        <v>34216</v>
      </c>
      <c r="K101" s="53">
        <f aca="true" t="shared" si="19" ref="K101:K106">(G101+I101)*F101</f>
        <v>310576</v>
      </c>
      <c r="N101" s="108">
        <f t="shared" si="13"/>
        <v>310576</v>
      </c>
    </row>
    <row r="102" spans="2:14" ht="21.75" customHeight="1">
      <c r="B102" s="51">
        <v>4</v>
      </c>
      <c r="C102" s="54" t="s">
        <v>335</v>
      </c>
      <c r="D102" s="54"/>
      <c r="E102" s="52"/>
      <c r="F102" s="53"/>
      <c r="G102" s="53"/>
      <c r="H102" s="53"/>
      <c r="I102" s="53"/>
      <c r="J102" s="53"/>
      <c r="K102" s="53"/>
      <c r="N102" s="108">
        <f t="shared" si="13"/>
        <v>0</v>
      </c>
    </row>
    <row r="103" spans="2:14" ht="21.75" customHeight="1">
      <c r="B103" s="51"/>
      <c r="C103" s="54" t="s">
        <v>334</v>
      </c>
      <c r="D103" s="54"/>
      <c r="E103" s="52" t="s">
        <v>230</v>
      </c>
      <c r="F103" s="53">
        <v>1899</v>
      </c>
      <c r="G103" s="53">
        <v>1200</v>
      </c>
      <c r="H103" s="53">
        <f t="shared" si="17"/>
        <v>2278800</v>
      </c>
      <c r="I103" s="53">
        <v>0</v>
      </c>
      <c r="J103" s="53">
        <f t="shared" si="18"/>
        <v>0</v>
      </c>
      <c r="K103" s="53">
        <f t="shared" si="19"/>
        <v>2278800</v>
      </c>
      <c r="N103" s="108">
        <f t="shared" si="13"/>
        <v>2278800</v>
      </c>
    </row>
    <row r="104" spans="2:14" ht="21.75" customHeight="1">
      <c r="B104" s="51">
        <v>5</v>
      </c>
      <c r="C104" s="54" t="s">
        <v>717</v>
      </c>
      <c r="D104" s="54"/>
      <c r="E104" s="52" t="s">
        <v>230</v>
      </c>
      <c r="F104" s="53">
        <v>49</v>
      </c>
      <c r="G104" s="53">
        <v>80</v>
      </c>
      <c r="H104" s="53">
        <f t="shared" si="17"/>
        <v>3920</v>
      </c>
      <c r="I104" s="53">
        <v>94</v>
      </c>
      <c r="J104" s="53">
        <f t="shared" si="18"/>
        <v>4606</v>
      </c>
      <c r="K104" s="53">
        <f t="shared" si="19"/>
        <v>8526</v>
      </c>
      <c r="N104" s="108">
        <f t="shared" si="13"/>
        <v>8526</v>
      </c>
    </row>
    <row r="105" spans="2:14" ht="21.75" customHeight="1">
      <c r="B105" s="51">
        <v>6</v>
      </c>
      <c r="C105" s="54" t="s">
        <v>24</v>
      </c>
      <c r="D105" s="54"/>
      <c r="E105" s="52" t="s">
        <v>230</v>
      </c>
      <c r="F105" s="53">
        <v>42</v>
      </c>
      <c r="G105" s="53">
        <v>150</v>
      </c>
      <c r="H105" s="53">
        <f t="shared" si="17"/>
        <v>6300</v>
      </c>
      <c r="I105" s="53">
        <v>30</v>
      </c>
      <c r="J105" s="53">
        <f t="shared" si="18"/>
        <v>1260</v>
      </c>
      <c r="K105" s="53">
        <f t="shared" si="19"/>
        <v>7560</v>
      </c>
      <c r="N105" s="108">
        <f t="shared" si="13"/>
        <v>7560</v>
      </c>
    </row>
    <row r="106" spans="2:14" ht="21.75" customHeight="1">
      <c r="B106" s="51">
        <v>7</v>
      </c>
      <c r="C106" s="114" t="s">
        <v>852</v>
      </c>
      <c r="D106" s="54"/>
      <c r="E106" s="52" t="s">
        <v>251</v>
      </c>
      <c r="F106" s="53">
        <v>750</v>
      </c>
      <c r="G106" s="53">
        <v>45</v>
      </c>
      <c r="H106" s="53">
        <f t="shared" si="17"/>
        <v>33750</v>
      </c>
      <c r="I106" s="53">
        <v>40</v>
      </c>
      <c r="J106" s="53">
        <f t="shared" si="18"/>
        <v>30000</v>
      </c>
      <c r="K106" s="53">
        <f t="shared" si="19"/>
        <v>63750</v>
      </c>
      <c r="N106" s="108">
        <f t="shared" si="13"/>
        <v>63750</v>
      </c>
    </row>
    <row r="107" spans="2:14" ht="21.75" customHeight="1">
      <c r="B107" s="51"/>
      <c r="C107" s="54"/>
      <c r="D107" s="54"/>
      <c r="E107" s="52"/>
      <c r="F107" s="53"/>
      <c r="G107" s="53"/>
      <c r="H107" s="53"/>
      <c r="I107" s="53"/>
      <c r="J107" s="53"/>
      <c r="K107" s="53"/>
      <c r="N107" s="108">
        <f t="shared" si="13"/>
        <v>0</v>
      </c>
    </row>
    <row r="108" spans="2:14" ht="21.75" customHeight="1">
      <c r="B108" s="51"/>
      <c r="C108" s="702" t="s">
        <v>234</v>
      </c>
      <c r="D108" s="703"/>
      <c r="E108" s="70"/>
      <c r="F108" s="71"/>
      <c r="G108" s="71"/>
      <c r="H108" s="71">
        <f>SUM(H96:H106)</f>
        <v>3621930</v>
      </c>
      <c r="I108" s="71"/>
      <c r="J108" s="71">
        <f>SUM(J96:J106)</f>
        <v>330032</v>
      </c>
      <c r="K108" s="71">
        <f>SUM(K96:K106)</f>
        <v>3951962</v>
      </c>
      <c r="M108" s="65">
        <f>SUM(H108,J108)</f>
        <v>3951962</v>
      </c>
      <c r="N108" s="108">
        <f t="shared" si="13"/>
        <v>0</v>
      </c>
    </row>
    <row r="109" spans="2:14" ht="21.75" customHeight="1">
      <c r="B109" s="51"/>
      <c r="C109" s="54"/>
      <c r="D109" s="54"/>
      <c r="E109" s="52"/>
      <c r="F109" s="53"/>
      <c r="G109" s="53"/>
      <c r="H109" s="53"/>
      <c r="I109" s="53"/>
      <c r="J109" s="53"/>
      <c r="K109" s="53"/>
      <c r="N109" s="108">
        <f t="shared" si="13"/>
        <v>0</v>
      </c>
    </row>
    <row r="110" spans="2:14" ht="21.75" customHeight="1">
      <c r="B110" s="51"/>
      <c r="C110" s="54"/>
      <c r="D110" s="54"/>
      <c r="E110" s="52"/>
      <c r="F110" s="53"/>
      <c r="G110" s="53"/>
      <c r="H110" s="53"/>
      <c r="I110" s="53"/>
      <c r="J110" s="53"/>
      <c r="K110" s="53"/>
      <c r="N110" s="108">
        <f t="shared" si="13"/>
        <v>0</v>
      </c>
    </row>
    <row r="111" spans="2:14" ht="21.75" customHeight="1">
      <c r="B111" s="51"/>
      <c r="C111" s="702" t="s">
        <v>192</v>
      </c>
      <c r="D111" s="703"/>
      <c r="E111" s="52"/>
      <c r="F111" s="53"/>
      <c r="G111" s="53"/>
      <c r="H111" s="53"/>
      <c r="I111" s="53"/>
      <c r="J111" s="53"/>
      <c r="K111" s="53"/>
      <c r="N111" s="108">
        <f t="shared" si="13"/>
        <v>0</v>
      </c>
    </row>
    <row r="112" spans="2:14" ht="21.75" customHeight="1">
      <c r="B112" s="51">
        <v>1</v>
      </c>
      <c r="C112" s="54" t="s">
        <v>853</v>
      </c>
      <c r="D112" s="54"/>
      <c r="E112" s="52" t="s">
        <v>230</v>
      </c>
      <c r="F112" s="53">
        <v>128</v>
      </c>
      <c r="G112" s="53">
        <v>280</v>
      </c>
      <c r="H112" s="53">
        <f aca="true" t="shared" si="20" ref="H112:H121">F112*G112</f>
        <v>35840</v>
      </c>
      <c r="I112" s="53">
        <v>99</v>
      </c>
      <c r="J112" s="53">
        <f aca="true" t="shared" si="21" ref="J112:J121">F112*I112</f>
        <v>12672</v>
      </c>
      <c r="K112" s="53">
        <f aca="true" t="shared" si="22" ref="K112:K121">(G112+I112)*F112</f>
        <v>48512</v>
      </c>
      <c r="N112" s="108">
        <f t="shared" si="13"/>
        <v>48512</v>
      </c>
    </row>
    <row r="113" spans="2:14" ht="21.75" customHeight="1">
      <c r="B113" s="51">
        <v>2</v>
      </c>
      <c r="C113" s="54" t="s">
        <v>854</v>
      </c>
      <c r="D113" s="54"/>
      <c r="E113" s="52" t="s">
        <v>230</v>
      </c>
      <c r="F113" s="53">
        <v>629</v>
      </c>
      <c r="G113" s="53">
        <v>250</v>
      </c>
      <c r="H113" s="53">
        <f>F113*G113</f>
        <v>157250</v>
      </c>
      <c r="I113" s="53">
        <v>158</v>
      </c>
      <c r="J113" s="53">
        <f>F113*I113</f>
        <v>99382</v>
      </c>
      <c r="K113" s="53">
        <f>(G113+I113)*F113</f>
        <v>256632</v>
      </c>
      <c r="N113" s="108">
        <f>(G113+I113)*F113</f>
        <v>256632</v>
      </c>
    </row>
    <row r="114" spans="2:14" ht="21.75" customHeight="1">
      <c r="B114" s="51">
        <v>3</v>
      </c>
      <c r="C114" s="54" t="s">
        <v>336</v>
      </c>
      <c r="D114" s="54"/>
      <c r="E114" s="52" t="s">
        <v>230</v>
      </c>
      <c r="F114" s="53">
        <v>130</v>
      </c>
      <c r="G114" s="53">
        <v>90</v>
      </c>
      <c r="H114" s="53">
        <f t="shared" si="20"/>
        <v>11700</v>
      </c>
      <c r="I114" s="53">
        <v>82</v>
      </c>
      <c r="J114" s="53">
        <f t="shared" si="21"/>
        <v>10660</v>
      </c>
      <c r="K114" s="53">
        <f t="shared" si="22"/>
        <v>22360</v>
      </c>
      <c r="N114" s="108">
        <f t="shared" si="13"/>
        <v>22360</v>
      </c>
    </row>
    <row r="115" spans="2:14" ht="21.75" customHeight="1">
      <c r="B115" s="51">
        <v>4</v>
      </c>
      <c r="C115" s="54" t="s">
        <v>719</v>
      </c>
      <c r="D115" s="54"/>
      <c r="E115" s="52" t="s">
        <v>230</v>
      </c>
      <c r="F115" s="53">
        <v>4190</v>
      </c>
      <c r="G115" s="53">
        <v>85</v>
      </c>
      <c r="H115" s="53">
        <f>F115*G115</f>
        <v>356150</v>
      </c>
      <c r="I115" s="53">
        <v>82</v>
      </c>
      <c r="J115" s="53">
        <f>F115*I115</f>
        <v>343580</v>
      </c>
      <c r="K115" s="53">
        <f>(G115+I115)*F115</f>
        <v>699730</v>
      </c>
      <c r="N115" s="108">
        <f t="shared" si="13"/>
        <v>699730</v>
      </c>
    </row>
    <row r="116" spans="2:14" ht="21.75" customHeight="1">
      <c r="B116" s="51">
        <v>5</v>
      </c>
      <c r="C116" s="54" t="s">
        <v>855</v>
      </c>
      <c r="D116" s="54"/>
      <c r="E116" s="52" t="s">
        <v>230</v>
      </c>
      <c r="F116" s="53">
        <v>579</v>
      </c>
      <c r="G116" s="53">
        <v>495</v>
      </c>
      <c r="H116" s="53">
        <f t="shared" si="20"/>
        <v>286605</v>
      </c>
      <c r="I116" s="53">
        <v>80</v>
      </c>
      <c r="J116" s="53">
        <f t="shared" si="21"/>
        <v>46320</v>
      </c>
      <c r="K116" s="53">
        <f t="shared" si="22"/>
        <v>332925</v>
      </c>
      <c r="N116" s="108">
        <f t="shared" si="13"/>
        <v>332925</v>
      </c>
    </row>
    <row r="117" spans="2:14" ht="21.75" customHeight="1">
      <c r="B117" s="51">
        <v>6</v>
      </c>
      <c r="C117" s="54" t="s">
        <v>857</v>
      </c>
      <c r="D117" s="54"/>
      <c r="E117" s="52" t="s">
        <v>230</v>
      </c>
      <c r="F117" s="53">
        <v>881</v>
      </c>
      <c r="G117" s="53">
        <v>230</v>
      </c>
      <c r="H117" s="53">
        <f t="shared" si="20"/>
        <v>202630</v>
      </c>
      <c r="I117" s="53">
        <v>55</v>
      </c>
      <c r="J117" s="53">
        <f t="shared" si="21"/>
        <v>48455</v>
      </c>
      <c r="K117" s="53">
        <f t="shared" si="22"/>
        <v>251085</v>
      </c>
      <c r="N117" s="108">
        <f t="shared" si="13"/>
        <v>251085</v>
      </c>
    </row>
    <row r="118" spans="2:14" ht="21.75" customHeight="1">
      <c r="B118" s="51">
        <v>7</v>
      </c>
      <c r="C118" s="54" t="s">
        <v>856</v>
      </c>
      <c r="D118" s="54"/>
      <c r="E118" s="52" t="s">
        <v>230</v>
      </c>
      <c r="F118" s="53">
        <v>366</v>
      </c>
      <c r="G118" s="53">
        <v>1100</v>
      </c>
      <c r="H118" s="53">
        <f t="shared" si="20"/>
        <v>402600</v>
      </c>
      <c r="I118" s="53">
        <v>198</v>
      </c>
      <c r="J118" s="53">
        <f t="shared" si="21"/>
        <v>72468</v>
      </c>
      <c r="K118" s="53">
        <f t="shared" si="22"/>
        <v>475068</v>
      </c>
      <c r="N118" s="108">
        <f t="shared" si="13"/>
        <v>475068</v>
      </c>
    </row>
    <row r="119" spans="2:14" ht="21.75" customHeight="1">
      <c r="B119" s="51">
        <v>8</v>
      </c>
      <c r="C119" s="54" t="s">
        <v>337</v>
      </c>
      <c r="D119" s="54"/>
      <c r="E119" s="52" t="s">
        <v>230</v>
      </c>
      <c r="F119" s="53">
        <v>176</v>
      </c>
      <c r="G119" s="53">
        <v>30</v>
      </c>
      <c r="H119" s="53">
        <f t="shared" si="20"/>
        <v>5280</v>
      </c>
      <c r="I119" s="53">
        <v>30</v>
      </c>
      <c r="J119" s="53">
        <f t="shared" si="21"/>
        <v>5280</v>
      </c>
      <c r="K119" s="53">
        <f t="shared" si="22"/>
        <v>10560</v>
      </c>
      <c r="N119" s="108">
        <f t="shared" si="13"/>
        <v>10560</v>
      </c>
    </row>
    <row r="120" spans="2:14" ht="21.75" customHeight="1">
      <c r="B120" s="74">
        <v>9</v>
      </c>
      <c r="C120" s="54" t="s">
        <v>338</v>
      </c>
      <c r="D120" s="54"/>
      <c r="E120" s="52"/>
      <c r="F120" s="53"/>
      <c r="G120" s="53"/>
      <c r="H120" s="53"/>
      <c r="I120" s="53"/>
      <c r="J120" s="53"/>
      <c r="K120" s="53"/>
      <c r="N120" s="108">
        <f t="shared" si="13"/>
        <v>0</v>
      </c>
    </row>
    <row r="121" spans="2:14" ht="21.75" customHeight="1">
      <c r="B121" s="74"/>
      <c r="C121" s="54" t="s">
        <v>720</v>
      </c>
      <c r="D121" s="54"/>
      <c r="E121" s="52" t="s">
        <v>230</v>
      </c>
      <c r="F121" s="53">
        <v>183</v>
      </c>
      <c r="G121" s="53">
        <v>80</v>
      </c>
      <c r="H121" s="53">
        <f t="shared" si="20"/>
        <v>14640</v>
      </c>
      <c r="I121" s="53">
        <v>50</v>
      </c>
      <c r="J121" s="53">
        <f t="shared" si="21"/>
        <v>9150</v>
      </c>
      <c r="K121" s="53">
        <f t="shared" si="22"/>
        <v>23790</v>
      </c>
      <c r="N121" s="108">
        <f t="shared" si="13"/>
        <v>23790</v>
      </c>
    </row>
    <row r="122" spans="2:14" ht="21.75" customHeight="1">
      <c r="B122" s="74">
        <v>10</v>
      </c>
      <c r="C122" s="54" t="s">
        <v>858</v>
      </c>
      <c r="D122" s="54"/>
      <c r="E122" s="52"/>
      <c r="F122" s="53"/>
      <c r="G122" s="53"/>
      <c r="H122" s="53"/>
      <c r="I122" s="53"/>
      <c r="J122" s="53"/>
      <c r="K122" s="53"/>
      <c r="N122" s="108">
        <f t="shared" si="13"/>
        <v>0</v>
      </c>
    </row>
    <row r="123" spans="2:14" ht="21.75" customHeight="1">
      <c r="B123" s="74"/>
      <c r="C123" s="54" t="s">
        <v>859</v>
      </c>
      <c r="D123" s="54"/>
      <c r="E123" s="52"/>
      <c r="F123" s="53"/>
      <c r="G123" s="53"/>
      <c r="H123" s="53"/>
      <c r="I123" s="53"/>
      <c r="J123" s="53"/>
      <c r="K123" s="53"/>
      <c r="N123" s="108">
        <f t="shared" si="13"/>
        <v>0</v>
      </c>
    </row>
    <row r="124" spans="2:14" ht="21.75" customHeight="1">
      <c r="B124" s="74"/>
      <c r="C124" s="54" t="s">
        <v>860</v>
      </c>
      <c r="D124" s="54"/>
      <c r="E124" s="52" t="s">
        <v>230</v>
      </c>
      <c r="F124" s="53">
        <v>1190</v>
      </c>
      <c r="G124" s="53">
        <v>400</v>
      </c>
      <c r="H124" s="53">
        <f>F124*G124</f>
        <v>476000</v>
      </c>
      <c r="I124" s="53">
        <v>0</v>
      </c>
      <c r="J124" s="53">
        <f>F124*I124</f>
        <v>0</v>
      </c>
      <c r="K124" s="53">
        <f>(G124+I124)*F124</f>
        <v>476000</v>
      </c>
      <c r="N124" s="108">
        <f>(G124+I124)*F124</f>
        <v>476000</v>
      </c>
    </row>
    <row r="125" spans="2:14" ht="21.75" customHeight="1">
      <c r="B125" s="74">
        <v>11</v>
      </c>
      <c r="C125" s="54" t="s">
        <v>861</v>
      </c>
      <c r="D125" s="54"/>
      <c r="E125" s="52"/>
      <c r="F125" s="53"/>
      <c r="G125" s="53"/>
      <c r="H125" s="53"/>
      <c r="I125" s="53"/>
      <c r="J125" s="53"/>
      <c r="K125" s="53"/>
      <c r="N125" s="108">
        <f t="shared" si="13"/>
        <v>0</v>
      </c>
    </row>
    <row r="126" spans="2:14" ht="21.75" customHeight="1">
      <c r="B126" s="74"/>
      <c r="C126" s="54" t="s">
        <v>862</v>
      </c>
      <c r="D126" s="54"/>
      <c r="E126" s="52" t="s">
        <v>230</v>
      </c>
      <c r="F126" s="53">
        <v>560</v>
      </c>
      <c r="G126" s="53">
        <v>650</v>
      </c>
      <c r="H126" s="53">
        <f>F126*G126</f>
        <v>364000</v>
      </c>
      <c r="I126" s="53">
        <v>100</v>
      </c>
      <c r="J126" s="53">
        <f>F126*I126</f>
        <v>56000</v>
      </c>
      <c r="K126" s="53">
        <f>(G126+I126)*F126</f>
        <v>420000</v>
      </c>
      <c r="N126" s="108">
        <f t="shared" si="13"/>
        <v>420000</v>
      </c>
    </row>
    <row r="127" spans="2:14" ht="21.75" customHeight="1">
      <c r="B127" s="74">
        <v>12</v>
      </c>
      <c r="C127" s="54" t="s">
        <v>863</v>
      </c>
      <c r="D127" s="54"/>
      <c r="E127" s="52"/>
      <c r="F127" s="53"/>
      <c r="G127" s="53"/>
      <c r="H127" s="53"/>
      <c r="I127" s="53"/>
      <c r="J127" s="53"/>
      <c r="K127" s="53"/>
      <c r="N127" s="108">
        <f t="shared" si="13"/>
        <v>0</v>
      </c>
    </row>
    <row r="128" spans="2:14" ht="21.75" customHeight="1">
      <c r="B128" s="74"/>
      <c r="C128" s="54" t="s">
        <v>864</v>
      </c>
      <c r="D128" s="54"/>
      <c r="E128" s="52" t="s">
        <v>230</v>
      </c>
      <c r="F128" s="53">
        <v>2170</v>
      </c>
      <c r="G128" s="53">
        <v>420</v>
      </c>
      <c r="H128" s="53">
        <f>F128*G128</f>
        <v>911400</v>
      </c>
      <c r="I128" s="53">
        <v>55</v>
      </c>
      <c r="J128" s="53">
        <f>F128*I128</f>
        <v>119350</v>
      </c>
      <c r="K128" s="53">
        <f>(G128+I128)*F128</f>
        <v>1030750</v>
      </c>
      <c r="N128" s="108">
        <f t="shared" si="13"/>
        <v>1030750</v>
      </c>
    </row>
    <row r="129" spans="2:14" ht="21.75" customHeight="1">
      <c r="B129" s="74">
        <v>13</v>
      </c>
      <c r="C129" s="54" t="s">
        <v>339</v>
      </c>
      <c r="D129" s="54"/>
      <c r="E129" s="52"/>
      <c r="F129" s="53"/>
      <c r="G129" s="53"/>
      <c r="H129" s="53"/>
      <c r="I129" s="53"/>
      <c r="J129" s="53"/>
      <c r="K129" s="53"/>
      <c r="N129" s="108">
        <f t="shared" si="13"/>
        <v>0</v>
      </c>
    </row>
    <row r="130" spans="2:14" ht="21.75" customHeight="1">
      <c r="B130" s="74"/>
      <c r="C130" s="54" t="s">
        <v>340</v>
      </c>
      <c r="D130" s="54"/>
      <c r="E130" s="52" t="s">
        <v>230</v>
      </c>
      <c r="F130" s="53">
        <v>43</v>
      </c>
      <c r="G130" s="53">
        <v>300</v>
      </c>
      <c r="H130" s="53">
        <f>F130*G130</f>
        <v>12900</v>
      </c>
      <c r="I130" s="53">
        <v>0</v>
      </c>
      <c r="J130" s="53">
        <f>F130*I130</f>
        <v>0</v>
      </c>
      <c r="K130" s="53">
        <f>(G130+I130)*F130</f>
        <v>12900</v>
      </c>
      <c r="N130" s="108">
        <f t="shared" si="13"/>
        <v>12900</v>
      </c>
    </row>
    <row r="131" spans="2:14" ht="21.75" customHeight="1">
      <c r="B131" s="74">
        <v>14</v>
      </c>
      <c r="C131" s="54" t="s">
        <v>723</v>
      </c>
      <c r="D131" s="54"/>
      <c r="E131" s="52"/>
      <c r="F131" s="53"/>
      <c r="G131" s="53"/>
      <c r="H131" s="53"/>
      <c r="I131" s="53"/>
      <c r="J131" s="53"/>
      <c r="K131" s="53"/>
      <c r="N131" s="108">
        <f t="shared" si="13"/>
        <v>0</v>
      </c>
    </row>
    <row r="132" spans="2:14" ht="21.75" customHeight="1">
      <c r="B132" s="74"/>
      <c r="C132" s="54" t="s">
        <v>724</v>
      </c>
      <c r="D132" s="54"/>
      <c r="E132" s="52" t="s">
        <v>236</v>
      </c>
      <c r="F132" s="53">
        <v>310</v>
      </c>
      <c r="G132" s="53">
        <v>170</v>
      </c>
      <c r="H132" s="53">
        <f>F132*G132</f>
        <v>52700</v>
      </c>
      <c r="I132" s="53">
        <v>45</v>
      </c>
      <c r="J132" s="53">
        <f>F132*I132</f>
        <v>13950</v>
      </c>
      <c r="K132" s="53">
        <f>(G132+I132)*F132</f>
        <v>66650</v>
      </c>
      <c r="N132" s="108">
        <f t="shared" si="13"/>
        <v>66650</v>
      </c>
    </row>
    <row r="133" spans="2:14" ht="21.75" customHeight="1">
      <c r="B133" s="74"/>
      <c r="C133" s="54" t="s">
        <v>865</v>
      </c>
      <c r="D133" s="54"/>
      <c r="E133" s="52" t="s">
        <v>236</v>
      </c>
      <c r="F133" s="53">
        <v>2730</v>
      </c>
      <c r="G133" s="53">
        <v>125</v>
      </c>
      <c r="H133" s="53">
        <f>F133*G133</f>
        <v>341250</v>
      </c>
      <c r="I133" s="53">
        <v>40</v>
      </c>
      <c r="J133" s="53">
        <f>F133*I133</f>
        <v>109200</v>
      </c>
      <c r="K133" s="53">
        <f>(G133+I133)*F133</f>
        <v>450450</v>
      </c>
      <c r="N133" s="108">
        <f t="shared" si="13"/>
        <v>450450</v>
      </c>
    </row>
    <row r="134" spans="2:14" ht="21.75" customHeight="1">
      <c r="B134" s="51">
        <v>15</v>
      </c>
      <c r="C134" s="54" t="s">
        <v>240</v>
      </c>
      <c r="D134" s="54"/>
      <c r="E134" s="52"/>
      <c r="F134" s="53"/>
      <c r="G134" s="53"/>
      <c r="H134" s="53"/>
      <c r="I134" s="53"/>
      <c r="J134" s="53"/>
      <c r="K134" s="53"/>
      <c r="N134" s="108">
        <f t="shared" si="13"/>
        <v>0</v>
      </c>
    </row>
    <row r="135" spans="2:14" ht="21.75" customHeight="1">
      <c r="B135" s="51"/>
      <c r="C135" s="54" t="s">
        <v>241</v>
      </c>
      <c r="D135" s="54" t="s">
        <v>247</v>
      </c>
      <c r="E135" s="52" t="s">
        <v>236</v>
      </c>
      <c r="F135" s="53">
        <v>36</v>
      </c>
      <c r="G135" s="53">
        <v>170</v>
      </c>
      <c r="H135" s="53">
        <f aca="true" t="shared" si="23" ref="H135:H150">F135*G135</f>
        <v>6120</v>
      </c>
      <c r="I135" s="53">
        <v>99</v>
      </c>
      <c r="J135" s="53">
        <f aca="true" t="shared" si="24" ref="J135:J150">F135*I135</f>
        <v>3564</v>
      </c>
      <c r="K135" s="53">
        <f aca="true" t="shared" si="25" ref="K135:K150">(G135+I135)*F135</f>
        <v>9684</v>
      </c>
      <c r="N135" s="108">
        <f t="shared" si="13"/>
        <v>9684</v>
      </c>
    </row>
    <row r="136" spans="2:14" ht="21.75" customHeight="1">
      <c r="B136" s="51"/>
      <c r="C136" s="54"/>
      <c r="D136" s="54" t="s">
        <v>13</v>
      </c>
      <c r="E136" s="52" t="s">
        <v>230</v>
      </c>
      <c r="F136" s="53">
        <v>9</v>
      </c>
      <c r="G136" s="53">
        <v>600</v>
      </c>
      <c r="H136" s="53">
        <f t="shared" si="23"/>
        <v>5400</v>
      </c>
      <c r="I136" s="53">
        <v>185</v>
      </c>
      <c r="J136" s="53">
        <f t="shared" si="24"/>
        <v>1665</v>
      </c>
      <c r="K136" s="53">
        <f t="shared" si="25"/>
        <v>7065</v>
      </c>
      <c r="N136" s="108">
        <f t="shared" si="13"/>
        <v>7065</v>
      </c>
    </row>
    <row r="137" spans="2:14" ht="21.75" customHeight="1">
      <c r="B137" s="51"/>
      <c r="C137" s="54"/>
      <c r="D137" s="54" t="s">
        <v>866</v>
      </c>
      <c r="E137" s="52" t="s">
        <v>236</v>
      </c>
      <c r="F137" s="53">
        <v>42</v>
      </c>
      <c r="G137" s="53">
        <v>500</v>
      </c>
      <c r="H137" s="53">
        <f t="shared" si="23"/>
        <v>21000</v>
      </c>
      <c r="I137" s="53">
        <v>40</v>
      </c>
      <c r="J137" s="53">
        <f t="shared" si="24"/>
        <v>1680</v>
      </c>
      <c r="K137" s="53">
        <f t="shared" si="25"/>
        <v>22680</v>
      </c>
      <c r="N137" s="108">
        <f t="shared" si="13"/>
        <v>22680</v>
      </c>
    </row>
    <row r="138" spans="2:14" ht="21.75" customHeight="1">
      <c r="B138" s="51"/>
      <c r="C138" s="54"/>
      <c r="D138" s="54"/>
      <c r="E138" s="52"/>
      <c r="F138" s="53"/>
      <c r="G138" s="53"/>
      <c r="H138" s="53"/>
      <c r="I138" s="53"/>
      <c r="J138" s="53"/>
      <c r="K138" s="53"/>
      <c r="N138" s="108"/>
    </row>
    <row r="139" spans="2:14" ht="21.75" customHeight="1">
      <c r="B139" s="51"/>
      <c r="C139" s="54" t="s">
        <v>245</v>
      </c>
      <c r="D139" s="54" t="s">
        <v>242</v>
      </c>
      <c r="E139" s="52" t="s">
        <v>236</v>
      </c>
      <c r="F139" s="53">
        <v>164</v>
      </c>
      <c r="G139" s="53">
        <v>200</v>
      </c>
      <c r="H139" s="53">
        <f t="shared" si="23"/>
        <v>32800</v>
      </c>
      <c r="I139" s="53">
        <v>179</v>
      </c>
      <c r="J139" s="53">
        <f t="shared" si="24"/>
        <v>29356</v>
      </c>
      <c r="K139" s="53">
        <f t="shared" si="25"/>
        <v>62156</v>
      </c>
      <c r="N139" s="108">
        <f t="shared" si="13"/>
        <v>62156</v>
      </c>
    </row>
    <row r="140" spans="2:14" ht="21.75" customHeight="1">
      <c r="B140" s="51"/>
      <c r="C140" s="54"/>
      <c r="D140" s="54" t="s">
        <v>243</v>
      </c>
      <c r="E140" s="52" t="s">
        <v>230</v>
      </c>
      <c r="F140" s="53">
        <v>30</v>
      </c>
      <c r="G140" s="53">
        <v>300</v>
      </c>
      <c r="H140" s="53">
        <f t="shared" si="23"/>
        <v>9000</v>
      </c>
      <c r="I140" s="53">
        <v>153</v>
      </c>
      <c r="J140" s="53">
        <f t="shared" si="24"/>
        <v>4590</v>
      </c>
      <c r="K140" s="53">
        <f t="shared" si="25"/>
        <v>13590</v>
      </c>
      <c r="N140" s="108">
        <f t="shared" si="13"/>
        <v>13590</v>
      </c>
    </row>
    <row r="141" spans="2:14" ht="21.75" customHeight="1">
      <c r="B141" s="51"/>
      <c r="C141" s="54"/>
      <c r="D141" s="54" t="s">
        <v>866</v>
      </c>
      <c r="E141" s="52" t="s">
        <v>236</v>
      </c>
      <c r="F141" s="53">
        <v>180</v>
      </c>
      <c r="G141" s="53">
        <v>500</v>
      </c>
      <c r="H141" s="53">
        <f>F141*G141</f>
        <v>90000</v>
      </c>
      <c r="I141" s="53">
        <v>40</v>
      </c>
      <c r="J141" s="53">
        <f>F141*I141</f>
        <v>7200</v>
      </c>
      <c r="K141" s="53">
        <f>(G141+I141)*F141</f>
        <v>97200</v>
      </c>
      <c r="N141" s="108">
        <f aca="true" t="shared" si="26" ref="N141:N207">(G141+I141)*F141</f>
        <v>97200</v>
      </c>
    </row>
    <row r="142" spans="2:14" ht="21.75" customHeight="1">
      <c r="B142" s="51"/>
      <c r="C142" s="54"/>
      <c r="D142" s="54" t="s">
        <v>722</v>
      </c>
      <c r="E142" s="52" t="s">
        <v>236</v>
      </c>
      <c r="F142" s="53">
        <v>41</v>
      </c>
      <c r="G142" s="53">
        <v>650</v>
      </c>
      <c r="H142" s="53">
        <f t="shared" si="23"/>
        <v>26650</v>
      </c>
      <c r="I142" s="53">
        <v>400</v>
      </c>
      <c r="J142" s="53">
        <f t="shared" si="24"/>
        <v>16400</v>
      </c>
      <c r="K142" s="53">
        <f t="shared" si="25"/>
        <v>43050</v>
      </c>
      <c r="N142" s="108">
        <f t="shared" si="26"/>
        <v>43050</v>
      </c>
    </row>
    <row r="143" spans="2:14" ht="21.75" customHeight="1">
      <c r="B143" s="51"/>
      <c r="C143" s="54"/>
      <c r="D143" s="54" t="s">
        <v>721</v>
      </c>
      <c r="E143" s="52" t="s">
        <v>236</v>
      </c>
      <c r="F143" s="53">
        <v>41</v>
      </c>
      <c r="G143" s="53">
        <v>950</v>
      </c>
      <c r="H143" s="53">
        <f t="shared" si="23"/>
        <v>38950</v>
      </c>
      <c r="I143" s="53">
        <v>0</v>
      </c>
      <c r="J143" s="53">
        <f t="shared" si="24"/>
        <v>0</v>
      </c>
      <c r="K143" s="53">
        <f t="shared" si="25"/>
        <v>38950</v>
      </c>
      <c r="N143" s="108">
        <f t="shared" si="26"/>
        <v>38950</v>
      </c>
    </row>
    <row r="144" spans="2:14" ht="21.75" customHeight="1">
      <c r="B144" s="51"/>
      <c r="C144" s="54"/>
      <c r="D144" s="54" t="s">
        <v>244</v>
      </c>
      <c r="E144" s="52" t="s">
        <v>236</v>
      </c>
      <c r="F144" s="53">
        <v>142</v>
      </c>
      <c r="G144" s="53">
        <v>60</v>
      </c>
      <c r="H144" s="53">
        <f t="shared" si="23"/>
        <v>8520</v>
      </c>
      <c r="I144" s="53">
        <v>75</v>
      </c>
      <c r="J144" s="53">
        <f t="shared" si="24"/>
        <v>10650</v>
      </c>
      <c r="K144" s="53">
        <f t="shared" si="25"/>
        <v>19170</v>
      </c>
      <c r="N144" s="108">
        <f t="shared" si="26"/>
        <v>19170</v>
      </c>
    </row>
    <row r="145" spans="2:14" ht="21.75" customHeight="1">
      <c r="B145" s="51"/>
      <c r="C145" s="54" t="s">
        <v>246</v>
      </c>
      <c r="D145" s="54" t="s">
        <v>247</v>
      </c>
      <c r="E145" s="52" t="s">
        <v>236</v>
      </c>
      <c r="F145" s="53">
        <v>27</v>
      </c>
      <c r="G145" s="53">
        <v>170</v>
      </c>
      <c r="H145" s="53">
        <f t="shared" si="23"/>
        <v>4590</v>
      </c>
      <c r="I145" s="53">
        <v>99</v>
      </c>
      <c r="J145" s="53">
        <f t="shared" si="24"/>
        <v>2673</v>
      </c>
      <c r="K145" s="53">
        <f t="shared" si="25"/>
        <v>7263</v>
      </c>
      <c r="N145" s="108">
        <f t="shared" si="26"/>
        <v>7263</v>
      </c>
    </row>
    <row r="146" spans="2:14" ht="21.75" customHeight="1">
      <c r="B146" s="51"/>
      <c r="C146" s="54"/>
      <c r="D146" s="54" t="s">
        <v>248</v>
      </c>
      <c r="E146" s="52" t="s">
        <v>230</v>
      </c>
      <c r="F146" s="53">
        <v>2</v>
      </c>
      <c r="G146" s="53">
        <v>280</v>
      </c>
      <c r="H146" s="53">
        <f t="shared" si="23"/>
        <v>560</v>
      </c>
      <c r="I146" s="53">
        <v>99</v>
      </c>
      <c r="J146" s="53">
        <f t="shared" si="24"/>
        <v>198</v>
      </c>
      <c r="K146" s="53">
        <f t="shared" si="25"/>
        <v>758</v>
      </c>
      <c r="N146" s="108">
        <f t="shared" si="26"/>
        <v>758</v>
      </c>
    </row>
    <row r="147" spans="2:14" ht="21.75" customHeight="1">
      <c r="B147" s="51"/>
      <c r="C147" s="54"/>
      <c r="D147" s="54" t="s">
        <v>866</v>
      </c>
      <c r="E147" s="52" t="s">
        <v>236</v>
      </c>
      <c r="F147" s="53">
        <v>31</v>
      </c>
      <c r="G147" s="53">
        <v>500</v>
      </c>
      <c r="H147" s="53">
        <f>F147*G147</f>
        <v>15500</v>
      </c>
      <c r="I147" s="53">
        <v>40</v>
      </c>
      <c r="J147" s="53">
        <f>F147*I147</f>
        <v>1240</v>
      </c>
      <c r="K147" s="53">
        <f>(G147+I147)*F147</f>
        <v>16740</v>
      </c>
      <c r="N147" s="108">
        <f t="shared" si="26"/>
        <v>16740</v>
      </c>
    </row>
    <row r="148" spans="2:14" ht="21.75" customHeight="1">
      <c r="B148" s="51"/>
      <c r="C148" s="54"/>
      <c r="D148" s="54" t="s">
        <v>722</v>
      </c>
      <c r="E148" s="52" t="s">
        <v>236</v>
      </c>
      <c r="F148" s="181">
        <v>13.5</v>
      </c>
      <c r="G148" s="53">
        <v>650</v>
      </c>
      <c r="H148" s="53">
        <f>F148*G148</f>
        <v>8775</v>
      </c>
      <c r="I148" s="53">
        <v>400</v>
      </c>
      <c r="J148" s="53">
        <f>F148*I148</f>
        <v>5400</v>
      </c>
      <c r="K148" s="53">
        <f>(G148+I148)*F148</f>
        <v>14175</v>
      </c>
      <c r="N148" s="108">
        <f t="shared" si="26"/>
        <v>14175</v>
      </c>
    </row>
    <row r="149" spans="2:14" ht="21.75" customHeight="1">
      <c r="B149" s="51"/>
      <c r="C149" s="54"/>
      <c r="D149" s="54" t="s">
        <v>721</v>
      </c>
      <c r="E149" s="52" t="s">
        <v>236</v>
      </c>
      <c r="F149" s="181">
        <v>13.5</v>
      </c>
      <c r="G149" s="53">
        <v>950</v>
      </c>
      <c r="H149" s="53">
        <f t="shared" si="23"/>
        <v>12825</v>
      </c>
      <c r="I149" s="53">
        <v>0</v>
      </c>
      <c r="J149" s="53">
        <f t="shared" si="24"/>
        <v>0</v>
      </c>
      <c r="K149" s="53">
        <f t="shared" si="25"/>
        <v>12825</v>
      </c>
      <c r="N149" s="108">
        <f t="shared" si="26"/>
        <v>12825</v>
      </c>
    </row>
    <row r="150" spans="2:14" ht="21.75" customHeight="1">
      <c r="B150" s="51"/>
      <c r="C150" s="54"/>
      <c r="D150" s="54" t="s">
        <v>249</v>
      </c>
      <c r="E150" s="52" t="s">
        <v>236</v>
      </c>
      <c r="F150" s="53">
        <v>27</v>
      </c>
      <c r="G150" s="53">
        <v>50</v>
      </c>
      <c r="H150" s="53">
        <f t="shared" si="23"/>
        <v>1350</v>
      </c>
      <c r="I150" s="53">
        <v>68</v>
      </c>
      <c r="J150" s="53">
        <f t="shared" si="24"/>
        <v>1836</v>
      </c>
      <c r="K150" s="53">
        <f t="shared" si="25"/>
        <v>3186</v>
      </c>
      <c r="N150" s="108">
        <f t="shared" si="26"/>
        <v>3186</v>
      </c>
    </row>
    <row r="151" spans="2:14" ht="21.75" customHeight="1">
      <c r="B151" s="51"/>
      <c r="C151" s="54"/>
      <c r="D151" s="54"/>
      <c r="E151" s="52"/>
      <c r="F151" s="53"/>
      <c r="G151" s="53"/>
      <c r="H151" s="53"/>
      <c r="I151" s="53"/>
      <c r="J151" s="53"/>
      <c r="K151" s="53"/>
      <c r="N151" s="108">
        <f t="shared" si="26"/>
        <v>0</v>
      </c>
    </row>
    <row r="152" spans="2:14" ht="21.75" customHeight="1">
      <c r="B152" s="51"/>
      <c r="C152" s="702" t="s">
        <v>234</v>
      </c>
      <c r="D152" s="703"/>
      <c r="E152" s="70"/>
      <c r="F152" s="71"/>
      <c r="G152" s="71"/>
      <c r="H152" s="71">
        <f>SUM(H111:H150)</f>
        <v>3912985</v>
      </c>
      <c r="I152" s="71"/>
      <c r="J152" s="71">
        <f>SUM(J111:J150)</f>
        <v>1032919</v>
      </c>
      <c r="K152" s="71">
        <f>SUM(K111:K150)</f>
        <v>4945904</v>
      </c>
      <c r="M152" s="65">
        <f>SUM(H152,J152)</f>
        <v>4945904</v>
      </c>
      <c r="N152" s="108">
        <f t="shared" si="26"/>
        <v>0</v>
      </c>
    </row>
    <row r="153" spans="2:14" ht="21.75" customHeight="1">
      <c r="B153" s="51"/>
      <c r="C153" s="54"/>
      <c r="D153" s="54"/>
      <c r="E153" s="52"/>
      <c r="F153" s="53"/>
      <c r="G153" s="53"/>
      <c r="H153" s="53"/>
      <c r="I153" s="53"/>
      <c r="J153" s="53"/>
      <c r="K153" s="53"/>
      <c r="N153" s="108">
        <f t="shared" si="26"/>
        <v>0</v>
      </c>
    </row>
    <row r="154" spans="2:14" ht="21.75" customHeight="1">
      <c r="B154" s="51"/>
      <c r="C154" s="54"/>
      <c r="D154" s="54"/>
      <c r="E154" s="52"/>
      <c r="F154" s="53"/>
      <c r="G154" s="53"/>
      <c r="H154" s="53"/>
      <c r="I154" s="53"/>
      <c r="J154" s="53"/>
      <c r="K154" s="53"/>
      <c r="N154" s="108"/>
    </row>
    <row r="155" spans="2:14" ht="21.75" customHeight="1">
      <c r="B155" s="51"/>
      <c r="C155" s="702" t="s">
        <v>690</v>
      </c>
      <c r="D155" s="703"/>
      <c r="E155" s="52"/>
      <c r="F155" s="53"/>
      <c r="G155" s="53"/>
      <c r="H155" s="53"/>
      <c r="I155" s="53"/>
      <c r="J155" s="53"/>
      <c r="K155" s="53"/>
      <c r="N155" s="108">
        <f t="shared" si="26"/>
        <v>0</v>
      </c>
    </row>
    <row r="156" spans="2:17" ht="21.75" customHeight="1">
      <c r="B156" s="51">
        <v>1</v>
      </c>
      <c r="C156" s="54" t="s">
        <v>728</v>
      </c>
      <c r="D156" s="54"/>
      <c r="E156" s="52" t="s">
        <v>230</v>
      </c>
      <c r="F156" s="53">
        <v>1995</v>
      </c>
      <c r="G156" s="53">
        <v>280</v>
      </c>
      <c r="H156" s="53">
        <f aca="true" t="shared" si="27" ref="H156:H172">F156*G156</f>
        <v>558600</v>
      </c>
      <c r="I156" s="53">
        <v>84</v>
      </c>
      <c r="J156" s="53">
        <f aca="true" t="shared" si="28" ref="J156:J164">F156*I156</f>
        <v>167580</v>
      </c>
      <c r="K156" s="53">
        <f aca="true" t="shared" si="29" ref="K156:K164">(G156+I156)*F156</f>
        <v>726180</v>
      </c>
      <c r="N156" s="108">
        <f t="shared" si="26"/>
        <v>726180</v>
      </c>
      <c r="Q156" s="400" t="s">
        <v>872</v>
      </c>
    </row>
    <row r="157" spans="2:17" ht="21.75" customHeight="1">
      <c r="B157" s="51">
        <v>2</v>
      </c>
      <c r="C157" s="54" t="s">
        <v>237</v>
      </c>
      <c r="D157" s="54"/>
      <c r="E157" s="52" t="s">
        <v>230</v>
      </c>
      <c r="F157" s="53">
        <v>1120</v>
      </c>
      <c r="G157" s="53">
        <v>294</v>
      </c>
      <c r="H157" s="53">
        <f>F157*G157</f>
        <v>329280</v>
      </c>
      <c r="I157" s="53">
        <v>89</v>
      </c>
      <c r="J157" s="53">
        <f>F157*I157</f>
        <v>99680</v>
      </c>
      <c r="K157" s="53">
        <f>(G157+I157)*F157</f>
        <v>428960</v>
      </c>
      <c r="N157" s="108">
        <f t="shared" si="26"/>
        <v>428960</v>
      </c>
      <c r="Q157" s="400" t="s">
        <v>872</v>
      </c>
    </row>
    <row r="158" spans="2:17" ht="21.75" customHeight="1">
      <c r="B158" s="51">
        <v>3</v>
      </c>
      <c r="C158" s="54" t="s">
        <v>33</v>
      </c>
      <c r="D158" s="54"/>
      <c r="E158" s="52" t="s">
        <v>230</v>
      </c>
      <c r="F158" s="53">
        <v>90</v>
      </c>
      <c r="G158" s="53">
        <v>600</v>
      </c>
      <c r="H158" s="53">
        <f>F158*G158</f>
        <v>54000</v>
      </c>
      <c r="I158" s="53">
        <v>167</v>
      </c>
      <c r="J158" s="53">
        <f>F158*I158</f>
        <v>15030</v>
      </c>
      <c r="K158" s="53">
        <f>(G158+I158)*F158</f>
        <v>69030</v>
      </c>
      <c r="N158" s="108">
        <f t="shared" si="26"/>
        <v>69030</v>
      </c>
      <c r="Q158" s="400" t="s">
        <v>872</v>
      </c>
    </row>
    <row r="159" spans="2:14" ht="21.75" customHeight="1">
      <c r="B159" s="51">
        <v>4</v>
      </c>
      <c r="C159" s="54" t="s">
        <v>729</v>
      </c>
      <c r="D159" s="54"/>
      <c r="E159" s="52" t="s">
        <v>230</v>
      </c>
      <c r="F159" s="53">
        <v>9</v>
      </c>
      <c r="G159" s="53">
        <v>650</v>
      </c>
      <c r="H159" s="53">
        <f t="shared" si="27"/>
        <v>5850</v>
      </c>
      <c r="I159" s="53">
        <v>89</v>
      </c>
      <c r="J159" s="53">
        <f t="shared" si="28"/>
        <v>801</v>
      </c>
      <c r="K159" s="53">
        <f t="shared" si="29"/>
        <v>6651</v>
      </c>
      <c r="N159" s="108">
        <f t="shared" si="26"/>
        <v>6651</v>
      </c>
    </row>
    <row r="160" spans="2:14" ht="21.75" customHeight="1">
      <c r="B160" s="51">
        <v>5</v>
      </c>
      <c r="C160" s="54" t="s">
        <v>730</v>
      </c>
      <c r="D160" s="54"/>
      <c r="E160" s="52" t="s">
        <v>230</v>
      </c>
      <c r="F160" s="53">
        <v>16</v>
      </c>
      <c r="G160" s="53">
        <v>550</v>
      </c>
      <c r="H160" s="53">
        <f t="shared" si="27"/>
        <v>8800</v>
      </c>
      <c r="I160" s="53">
        <v>89</v>
      </c>
      <c r="J160" s="53">
        <f t="shared" si="28"/>
        <v>1424</v>
      </c>
      <c r="K160" s="53">
        <f t="shared" si="29"/>
        <v>10224</v>
      </c>
      <c r="N160" s="108">
        <f t="shared" si="26"/>
        <v>10224</v>
      </c>
    </row>
    <row r="161" spans="2:14" ht="21.75" customHeight="1">
      <c r="B161" s="51">
        <v>6</v>
      </c>
      <c r="C161" s="54" t="s">
        <v>34</v>
      </c>
      <c r="D161" s="54"/>
      <c r="E161" s="52" t="s">
        <v>230</v>
      </c>
      <c r="F161" s="53">
        <v>8</v>
      </c>
      <c r="G161" s="53">
        <v>1500</v>
      </c>
      <c r="H161" s="53">
        <f t="shared" si="27"/>
        <v>12000</v>
      </c>
      <c r="I161" s="53">
        <v>15</v>
      </c>
      <c r="J161" s="53">
        <f t="shared" si="28"/>
        <v>120</v>
      </c>
      <c r="K161" s="53">
        <f t="shared" si="29"/>
        <v>12120</v>
      </c>
      <c r="N161" s="108">
        <f t="shared" si="26"/>
        <v>12120</v>
      </c>
    </row>
    <row r="162" spans="2:14" ht="21.75" customHeight="1">
      <c r="B162" s="51">
        <v>7</v>
      </c>
      <c r="C162" s="54" t="s">
        <v>238</v>
      </c>
      <c r="D162" s="54"/>
      <c r="E162" s="52" t="s">
        <v>230</v>
      </c>
      <c r="F162" s="53">
        <v>3145</v>
      </c>
      <c r="G162" s="53">
        <v>60</v>
      </c>
      <c r="H162" s="53">
        <f t="shared" si="27"/>
        <v>188700</v>
      </c>
      <c r="I162" s="53">
        <v>82</v>
      </c>
      <c r="J162" s="53">
        <f t="shared" si="28"/>
        <v>257890</v>
      </c>
      <c r="K162" s="53">
        <f t="shared" si="29"/>
        <v>446590</v>
      </c>
      <c r="N162" s="108">
        <f t="shared" si="26"/>
        <v>446590</v>
      </c>
    </row>
    <row r="163" spans="2:14" ht="21.75" customHeight="1">
      <c r="B163" s="51">
        <v>8</v>
      </c>
      <c r="C163" s="54" t="s">
        <v>239</v>
      </c>
      <c r="D163" s="54"/>
      <c r="E163" s="52" t="s">
        <v>230</v>
      </c>
      <c r="F163" s="53">
        <v>2185</v>
      </c>
      <c r="G163" s="53">
        <v>60</v>
      </c>
      <c r="H163" s="53">
        <f t="shared" si="27"/>
        <v>131100</v>
      </c>
      <c r="I163" s="53">
        <v>95</v>
      </c>
      <c r="J163" s="53">
        <f t="shared" si="28"/>
        <v>207575</v>
      </c>
      <c r="K163" s="53">
        <f t="shared" si="29"/>
        <v>338675</v>
      </c>
      <c r="N163" s="108">
        <f t="shared" si="26"/>
        <v>338675</v>
      </c>
    </row>
    <row r="164" spans="2:14" ht="21.75" customHeight="1">
      <c r="B164" s="51">
        <v>9</v>
      </c>
      <c r="C164" s="54" t="s">
        <v>35</v>
      </c>
      <c r="D164" s="54"/>
      <c r="E164" s="52" t="s">
        <v>230</v>
      </c>
      <c r="F164" s="53">
        <v>90</v>
      </c>
      <c r="G164" s="53">
        <v>70</v>
      </c>
      <c r="H164" s="53">
        <f t="shared" si="27"/>
        <v>6300</v>
      </c>
      <c r="I164" s="53">
        <v>100</v>
      </c>
      <c r="J164" s="53">
        <f t="shared" si="28"/>
        <v>9000</v>
      </c>
      <c r="K164" s="53">
        <f t="shared" si="29"/>
        <v>15300</v>
      </c>
      <c r="N164" s="108">
        <f t="shared" si="26"/>
        <v>15300</v>
      </c>
    </row>
    <row r="165" spans="2:14" ht="21.75" customHeight="1">
      <c r="B165" s="51">
        <v>10</v>
      </c>
      <c r="C165" s="54" t="s">
        <v>867</v>
      </c>
      <c r="D165" s="54"/>
      <c r="E165" s="52" t="s">
        <v>230</v>
      </c>
      <c r="F165" s="53">
        <v>278</v>
      </c>
      <c r="G165" s="53">
        <v>2000</v>
      </c>
      <c r="H165" s="53">
        <f t="shared" si="27"/>
        <v>556000</v>
      </c>
      <c r="I165" s="53">
        <v>0</v>
      </c>
      <c r="J165" s="53">
        <f aca="true" t="shared" si="30" ref="J165:J170">F165*I165</f>
        <v>0</v>
      </c>
      <c r="K165" s="53">
        <f aca="true" t="shared" si="31" ref="K165:K170">(G165+I165)*F165</f>
        <v>556000</v>
      </c>
      <c r="N165" s="108">
        <f t="shared" si="26"/>
        <v>556000</v>
      </c>
    </row>
    <row r="166" spans="2:14" ht="21.75" customHeight="1">
      <c r="B166" s="51">
        <v>11</v>
      </c>
      <c r="C166" s="54" t="s">
        <v>36</v>
      </c>
      <c r="D166" s="54"/>
      <c r="E166" s="52" t="s">
        <v>230</v>
      </c>
      <c r="F166" s="53">
        <v>110</v>
      </c>
      <c r="G166" s="53">
        <v>1200</v>
      </c>
      <c r="H166" s="53">
        <f t="shared" si="27"/>
        <v>132000</v>
      </c>
      <c r="I166" s="53">
        <v>0</v>
      </c>
      <c r="J166" s="53">
        <f t="shared" si="30"/>
        <v>0</v>
      </c>
      <c r="K166" s="53">
        <f t="shared" si="31"/>
        <v>132000</v>
      </c>
      <c r="N166" s="108">
        <f t="shared" si="26"/>
        <v>132000</v>
      </c>
    </row>
    <row r="167" spans="2:14" ht="21.75" customHeight="1">
      <c r="B167" s="51">
        <v>12</v>
      </c>
      <c r="C167" s="54" t="s">
        <v>37</v>
      </c>
      <c r="D167" s="54"/>
      <c r="E167" s="52" t="s">
        <v>230</v>
      </c>
      <c r="F167" s="53">
        <v>359</v>
      </c>
      <c r="G167" s="53">
        <v>1800</v>
      </c>
      <c r="H167" s="53">
        <f t="shared" si="27"/>
        <v>646200</v>
      </c>
      <c r="I167" s="53">
        <v>200</v>
      </c>
      <c r="J167" s="53">
        <f t="shared" si="30"/>
        <v>71800</v>
      </c>
      <c r="K167" s="53">
        <f t="shared" si="31"/>
        <v>718000</v>
      </c>
      <c r="N167" s="108">
        <f t="shared" si="26"/>
        <v>718000</v>
      </c>
    </row>
    <row r="168" spans="2:14" ht="21.75" customHeight="1">
      <c r="B168" s="51">
        <v>13</v>
      </c>
      <c r="C168" s="54" t="s">
        <v>38</v>
      </c>
      <c r="D168" s="54"/>
      <c r="E168" s="52" t="s">
        <v>230</v>
      </c>
      <c r="F168" s="53">
        <v>65</v>
      </c>
      <c r="G168" s="53">
        <v>800</v>
      </c>
      <c r="H168" s="53">
        <f t="shared" si="27"/>
        <v>52000</v>
      </c>
      <c r="I168" s="53">
        <v>120</v>
      </c>
      <c r="J168" s="53">
        <f t="shared" si="30"/>
        <v>7800</v>
      </c>
      <c r="K168" s="53">
        <f t="shared" si="31"/>
        <v>59800</v>
      </c>
      <c r="N168" s="108">
        <f t="shared" si="26"/>
        <v>59800</v>
      </c>
    </row>
    <row r="169" spans="2:14" ht="21.75" customHeight="1">
      <c r="B169" s="51">
        <v>14</v>
      </c>
      <c r="C169" s="54" t="s">
        <v>39</v>
      </c>
      <c r="D169" s="54"/>
      <c r="E169" s="52" t="s">
        <v>230</v>
      </c>
      <c r="F169" s="53">
        <v>1566</v>
      </c>
      <c r="G169" s="53">
        <v>420</v>
      </c>
      <c r="H169" s="53">
        <f t="shared" si="27"/>
        <v>657720</v>
      </c>
      <c r="I169" s="53">
        <v>130</v>
      </c>
      <c r="J169" s="53">
        <f t="shared" si="30"/>
        <v>203580</v>
      </c>
      <c r="K169" s="53">
        <f t="shared" si="31"/>
        <v>861300</v>
      </c>
      <c r="N169" s="108">
        <f t="shared" si="26"/>
        <v>861300</v>
      </c>
    </row>
    <row r="170" spans="2:14" ht="21.75" customHeight="1">
      <c r="B170" s="51">
        <v>15</v>
      </c>
      <c r="C170" s="54" t="s">
        <v>40</v>
      </c>
      <c r="D170" s="54"/>
      <c r="E170" s="52" t="s">
        <v>230</v>
      </c>
      <c r="F170" s="53">
        <v>489</v>
      </c>
      <c r="G170" s="53">
        <v>640</v>
      </c>
      <c r="H170" s="53">
        <f t="shared" si="27"/>
        <v>312960</v>
      </c>
      <c r="I170" s="53">
        <v>295</v>
      </c>
      <c r="J170" s="53">
        <f t="shared" si="30"/>
        <v>144255</v>
      </c>
      <c r="K170" s="53">
        <f t="shared" si="31"/>
        <v>457215</v>
      </c>
      <c r="N170" s="108">
        <f t="shared" si="26"/>
        <v>457215</v>
      </c>
    </row>
    <row r="171" spans="2:14" ht="21.75" customHeight="1">
      <c r="B171" s="51">
        <v>16</v>
      </c>
      <c r="C171" s="54" t="s">
        <v>144</v>
      </c>
      <c r="D171" s="54"/>
      <c r="E171" s="52" t="s">
        <v>230</v>
      </c>
      <c r="F171" s="53">
        <v>903</v>
      </c>
      <c r="G171" s="53">
        <v>1000</v>
      </c>
      <c r="H171" s="53">
        <f>F171*G171</f>
        <v>903000</v>
      </c>
      <c r="I171" s="53">
        <v>0</v>
      </c>
      <c r="J171" s="53">
        <f aca="true" t="shared" si="32" ref="J171:J176">F171*I171</f>
        <v>0</v>
      </c>
      <c r="K171" s="53">
        <f aca="true" t="shared" si="33" ref="K171:K176">(G171+I171)*F171</f>
        <v>903000</v>
      </c>
      <c r="N171" s="108">
        <f t="shared" si="26"/>
        <v>903000</v>
      </c>
    </row>
    <row r="172" spans="2:14" ht="21.75" customHeight="1">
      <c r="B172" s="51">
        <v>17</v>
      </c>
      <c r="C172" s="54" t="s">
        <v>873</v>
      </c>
      <c r="D172" s="54"/>
      <c r="E172" s="52" t="s">
        <v>230</v>
      </c>
      <c r="F172" s="53">
        <v>1300</v>
      </c>
      <c r="G172" s="53">
        <v>250</v>
      </c>
      <c r="H172" s="53">
        <f t="shared" si="27"/>
        <v>325000</v>
      </c>
      <c r="I172" s="53">
        <v>166</v>
      </c>
      <c r="J172" s="53">
        <f t="shared" si="32"/>
        <v>215800</v>
      </c>
      <c r="K172" s="53">
        <f t="shared" si="33"/>
        <v>540800</v>
      </c>
      <c r="N172" s="108">
        <f t="shared" si="26"/>
        <v>540800</v>
      </c>
    </row>
    <row r="173" spans="2:14" ht="21.75" customHeight="1">
      <c r="B173" s="51">
        <v>18</v>
      </c>
      <c r="C173" s="54" t="s">
        <v>874</v>
      </c>
      <c r="D173" s="54"/>
      <c r="E173" s="52" t="s">
        <v>230</v>
      </c>
      <c r="F173" s="53">
        <v>106</v>
      </c>
      <c r="G173" s="53">
        <v>1250</v>
      </c>
      <c r="H173" s="53">
        <f>F173*G173</f>
        <v>132500</v>
      </c>
      <c r="I173" s="53">
        <v>302</v>
      </c>
      <c r="J173" s="53">
        <f t="shared" si="32"/>
        <v>32012</v>
      </c>
      <c r="K173" s="53">
        <f t="shared" si="33"/>
        <v>164512</v>
      </c>
      <c r="N173" s="108">
        <f>(G173+I173)*F173</f>
        <v>164512</v>
      </c>
    </row>
    <row r="174" spans="2:14" ht="21.75" customHeight="1">
      <c r="B174" s="51">
        <v>19</v>
      </c>
      <c r="C174" s="54" t="s">
        <v>875</v>
      </c>
      <c r="D174" s="54"/>
      <c r="E174" s="52" t="s">
        <v>230</v>
      </c>
      <c r="F174" s="53">
        <v>81</v>
      </c>
      <c r="G174" s="53">
        <v>2800</v>
      </c>
      <c r="H174" s="53">
        <f>F174*G174</f>
        <v>226800</v>
      </c>
      <c r="I174" s="53">
        <v>0</v>
      </c>
      <c r="J174" s="53">
        <f t="shared" si="32"/>
        <v>0</v>
      </c>
      <c r="K174" s="53">
        <f t="shared" si="33"/>
        <v>226800</v>
      </c>
      <c r="N174" s="108">
        <f>(G174+I174)*F174</f>
        <v>226800</v>
      </c>
    </row>
    <row r="175" spans="2:14" ht="21.75" customHeight="1">
      <c r="B175" s="51">
        <v>20</v>
      </c>
      <c r="C175" s="54" t="s">
        <v>145</v>
      </c>
      <c r="D175" s="54"/>
      <c r="E175" s="52" t="s">
        <v>230</v>
      </c>
      <c r="F175" s="53">
        <v>3</v>
      </c>
      <c r="G175" s="53">
        <v>1800</v>
      </c>
      <c r="H175" s="53">
        <f>F175*G175</f>
        <v>5400</v>
      </c>
      <c r="I175" s="53">
        <v>200</v>
      </c>
      <c r="J175" s="53">
        <f t="shared" si="32"/>
        <v>600</v>
      </c>
      <c r="K175" s="53">
        <f t="shared" si="33"/>
        <v>6000</v>
      </c>
      <c r="N175" s="108">
        <f t="shared" si="26"/>
        <v>6000</v>
      </c>
    </row>
    <row r="176" spans="2:14" ht="21.75" customHeight="1">
      <c r="B176" s="51">
        <v>21</v>
      </c>
      <c r="C176" s="54" t="s">
        <v>731</v>
      </c>
      <c r="D176" s="54"/>
      <c r="E176" s="52" t="s">
        <v>230</v>
      </c>
      <c r="F176" s="53">
        <v>323</v>
      </c>
      <c r="G176" s="53">
        <v>190</v>
      </c>
      <c r="H176" s="53">
        <f>F176*G176</f>
        <v>61370</v>
      </c>
      <c r="I176" s="53">
        <v>121</v>
      </c>
      <c r="J176" s="53">
        <f t="shared" si="32"/>
        <v>39083</v>
      </c>
      <c r="K176" s="53">
        <f t="shared" si="33"/>
        <v>100453</v>
      </c>
      <c r="N176" s="108">
        <f t="shared" si="26"/>
        <v>100453</v>
      </c>
    </row>
    <row r="177" spans="2:14" ht="21.75" customHeight="1">
      <c r="B177" s="51">
        <v>22</v>
      </c>
      <c r="C177" s="54" t="s">
        <v>725</v>
      </c>
      <c r="D177" s="54"/>
      <c r="E177" s="52"/>
      <c r="F177" s="53"/>
      <c r="G177" s="53"/>
      <c r="H177" s="53"/>
      <c r="I177" s="53"/>
      <c r="J177" s="53"/>
      <c r="K177" s="53"/>
      <c r="N177" s="108">
        <f t="shared" si="26"/>
        <v>0</v>
      </c>
    </row>
    <row r="178" spans="2:14" ht="21.75" customHeight="1">
      <c r="B178" s="51"/>
      <c r="C178" s="54" t="s">
        <v>726</v>
      </c>
      <c r="D178" s="54"/>
      <c r="E178" s="52" t="s">
        <v>236</v>
      </c>
      <c r="F178" s="53">
        <v>2804</v>
      </c>
      <c r="G178" s="53">
        <v>55</v>
      </c>
      <c r="H178" s="53">
        <f>F178*G178</f>
        <v>154220</v>
      </c>
      <c r="I178" s="53">
        <v>44</v>
      </c>
      <c r="J178" s="53">
        <f>F178*I178</f>
        <v>123376</v>
      </c>
      <c r="K178" s="53">
        <f>(G178+I178)*F178</f>
        <v>277596</v>
      </c>
      <c r="N178" s="108">
        <f t="shared" si="26"/>
        <v>277596</v>
      </c>
    </row>
    <row r="179" spans="2:14" ht="21.75" customHeight="1">
      <c r="B179" s="51"/>
      <c r="C179" s="54" t="s">
        <v>727</v>
      </c>
      <c r="D179" s="54"/>
      <c r="E179" s="52" t="s">
        <v>236</v>
      </c>
      <c r="F179" s="53">
        <v>54</v>
      </c>
      <c r="G179" s="53">
        <v>75</v>
      </c>
      <c r="H179" s="53">
        <f>F179*G179</f>
        <v>4050</v>
      </c>
      <c r="I179" s="53">
        <v>62</v>
      </c>
      <c r="J179" s="53">
        <f>F179*I179</f>
        <v>3348</v>
      </c>
      <c r="K179" s="53">
        <f>(G179+I179)*F179</f>
        <v>7398</v>
      </c>
      <c r="N179" s="108">
        <f t="shared" si="26"/>
        <v>7398</v>
      </c>
    </row>
    <row r="180" spans="2:14" ht="21.75" customHeight="1">
      <c r="B180" s="51"/>
      <c r="C180" s="702" t="s">
        <v>234</v>
      </c>
      <c r="D180" s="703"/>
      <c r="E180" s="70"/>
      <c r="F180" s="71"/>
      <c r="G180" s="71"/>
      <c r="H180" s="71">
        <f>SUM(H155:H179)</f>
        <v>5463850</v>
      </c>
      <c r="I180" s="71"/>
      <c r="J180" s="71">
        <f>SUM(J155:J179)</f>
        <v>1600754</v>
      </c>
      <c r="K180" s="71">
        <f>SUM(K155:K179)</f>
        <v>7064604</v>
      </c>
      <c r="M180" s="65">
        <f>SUM(H180,J180)</f>
        <v>7064604</v>
      </c>
      <c r="N180" s="108">
        <f t="shared" si="26"/>
        <v>0</v>
      </c>
    </row>
    <row r="181" spans="2:14" ht="21.75" customHeight="1">
      <c r="B181" s="51"/>
      <c r="C181" s="124"/>
      <c r="D181" s="125"/>
      <c r="E181" s="70"/>
      <c r="F181" s="71"/>
      <c r="G181" s="71"/>
      <c r="H181" s="71"/>
      <c r="I181" s="71"/>
      <c r="J181" s="71"/>
      <c r="K181" s="71"/>
      <c r="M181" s="65"/>
      <c r="N181" s="108"/>
    </row>
    <row r="182" spans="2:14" ht="21.75" customHeight="1">
      <c r="B182" s="51"/>
      <c r="C182" s="702" t="s">
        <v>689</v>
      </c>
      <c r="D182" s="703"/>
      <c r="E182" s="52"/>
      <c r="F182" s="53"/>
      <c r="G182" s="53"/>
      <c r="H182" s="53"/>
      <c r="I182" s="53"/>
      <c r="J182" s="53"/>
      <c r="K182" s="53"/>
      <c r="N182" s="108">
        <f t="shared" si="26"/>
        <v>0</v>
      </c>
    </row>
    <row r="183" spans="2:14" ht="21.75" customHeight="1">
      <c r="B183" s="51">
        <v>1</v>
      </c>
      <c r="C183" s="54" t="s">
        <v>250</v>
      </c>
      <c r="D183" s="54"/>
      <c r="E183" s="52" t="s">
        <v>251</v>
      </c>
      <c r="F183" s="53">
        <v>657</v>
      </c>
      <c r="G183" s="53">
        <v>325</v>
      </c>
      <c r="H183" s="53">
        <f aca="true" t="shared" si="34" ref="H183:H194">F183*G183</f>
        <v>213525</v>
      </c>
      <c r="I183" s="53">
        <v>45</v>
      </c>
      <c r="J183" s="53">
        <f aca="true" t="shared" si="35" ref="J183:J194">F183*I183</f>
        <v>29565</v>
      </c>
      <c r="K183" s="53">
        <f aca="true" t="shared" si="36" ref="K183:K194">(G183+I183)*F183</f>
        <v>243090</v>
      </c>
      <c r="N183" s="108">
        <f t="shared" si="26"/>
        <v>243090</v>
      </c>
    </row>
    <row r="184" spans="2:14" ht="21.75" customHeight="1">
      <c r="B184" s="51">
        <v>2</v>
      </c>
      <c r="C184" s="54" t="s">
        <v>25</v>
      </c>
      <c r="D184" s="54"/>
      <c r="E184" s="52" t="s">
        <v>252</v>
      </c>
      <c r="F184" s="53">
        <v>341</v>
      </c>
      <c r="G184" s="53">
        <v>44</v>
      </c>
      <c r="H184" s="53">
        <f t="shared" si="34"/>
        <v>15004</v>
      </c>
      <c r="I184" s="53">
        <v>0</v>
      </c>
      <c r="J184" s="53">
        <f t="shared" si="35"/>
        <v>0</v>
      </c>
      <c r="K184" s="53">
        <f t="shared" si="36"/>
        <v>15004</v>
      </c>
      <c r="N184" s="108">
        <f t="shared" si="26"/>
        <v>15004</v>
      </c>
    </row>
    <row r="185" spans="2:14" ht="21.75" customHeight="1">
      <c r="B185" s="51">
        <v>3</v>
      </c>
      <c r="C185" s="54" t="s">
        <v>253</v>
      </c>
      <c r="D185" s="54"/>
      <c r="E185" s="52" t="s">
        <v>252</v>
      </c>
      <c r="F185" s="53">
        <v>104</v>
      </c>
      <c r="G185" s="53">
        <v>332</v>
      </c>
      <c r="H185" s="53">
        <f t="shared" si="34"/>
        <v>34528</v>
      </c>
      <c r="I185" s="53">
        <v>100</v>
      </c>
      <c r="J185" s="53">
        <f t="shared" si="35"/>
        <v>10400</v>
      </c>
      <c r="K185" s="53">
        <f t="shared" si="36"/>
        <v>44928</v>
      </c>
      <c r="N185" s="108">
        <f t="shared" si="26"/>
        <v>44928</v>
      </c>
    </row>
    <row r="186" spans="2:14" ht="21.75" customHeight="1">
      <c r="B186" s="51">
        <v>4</v>
      </c>
      <c r="C186" s="54" t="s">
        <v>27</v>
      </c>
      <c r="D186" s="54"/>
      <c r="E186" s="52" t="s">
        <v>252</v>
      </c>
      <c r="F186" s="53">
        <v>114</v>
      </c>
      <c r="G186" s="53">
        <v>120</v>
      </c>
      <c r="H186" s="53">
        <f t="shared" si="34"/>
        <v>13680</v>
      </c>
      <c r="I186" s="53">
        <v>35</v>
      </c>
      <c r="J186" s="53">
        <f t="shared" si="35"/>
        <v>3990</v>
      </c>
      <c r="K186" s="53">
        <f t="shared" si="36"/>
        <v>17670</v>
      </c>
      <c r="N186" s="108">
        <f t="shared" si="26"/>
        <v>17670</v>
      </c>
    </row>
    <row r="187" spans="2:14" ht="21.75" customHeight="1">
      <c r="B187" s="51">
        <v>5</v>
      </c>
      <c r="C187" s="54" t="s">
        <v>26</v>
      </c>
      <c r="D187" s="54"/>
      <c r="E187" s="52" t="s">
        <v>252</v>
      </c>
      <c r="F187" s="53">
        <v>1</v>
      </c>
      <c r="G187" s="53">
        <v>20</v>
      </c>
      <c r="H187" s="53">
        <f t="shared" si="34"/>
        <v>20</v>
      </c>
      <c r="I187" s="53">
        <v>0</v>
      </c>
      <c r="J187" s="53">
        <f t="shared" si="35"/>
        <v>0</v>
      </c>
      <c r="K187" s="53">
        <f t="shared" si="36"/>
        <v>20</v>
      </c>
      <c r="N187" s="108">
        <f t="shared" si="26"/>
        <v>20</v>
      </c>
    </row>
    <row r="188" spans="2:14" ht="21.75" customHeight="1">
      <c r="B188" s="51">
        <v>6</v>
      </c>
      <c r="C188" s="54" t="s">
        <v>28</v>
      </c>
      <c r="D188" s="54"/>
      <c r="E188" s="52" t="s">
        <v>252</v>
      </c>
      <c r="F188" s="53">
        <v>2</v>
      </c>
      <c r="G188" s="53">
        <v>30</v>
      </c>
      <c r="H188" s="53">
        <f t="shared" si="34"/>
        <v>60</v>
      </c>
      <c r="I188" s="53">
        <v>0</v>
      </c>
      <c r="J188" s="53">
        <f t="shared" si="35"/>
        <v>0</v>
      </c>
      <c r="K188" s="53">
        <f t="shared" si="36"/>
        <v>60</v>
      </c>
      <c r="N188" s="108">
        <f t="shared" si="26"/>
        <v>60</v>
      </c>
    </row>
    <row r="189" spans="2:14" ht="21.75" customHeight="1">
      <c r="B189" s="51">
        <v>7</v>
      </c>
      <c r="C189" s="54" t="s">
        <v>32</v>
      </c>
      <c r="D189" s="54"/>
      <c r="E189" s="52" t="s">
        <v>806</v>
      </c>
      <c r="F189" s="53">
        <f>291*10.76</f>
        <v>3131.16</v>
      </c>
      <c r="G189" s="53">
        <v>18</v>
      </c>
      <c r="H189" s="53">
        <f t="shared" si="34"/>
        <v>56360.88</v>
      </c>
      <c r="I189" s="53">
        <v>9</v>
      </c>
      <c r="J189" s="53">
        <f t="shared" si="35"/>
        <v>28180.44</v>
      </c>
      <c r="K189" s="53">
        <f t="shared" si="36"/>
        <v>84541.31999999999</v>
      </c>
      <c r="N189" s="108">
        <f t="shared" si="26"/>
        <v>84541.31999999999</v>
      </c>
    </row>
    <row r="190" spans="2:14" ht="21.75" customHeight="1">
      <c r="B190" s="51">
        <v>8</v>
      </c>
      <c r="C190" s="54" t="s">
        <v>29</v>
      </c>
      <c r="D190" s="54"/>
      <c r="E190" s="52" t="s">
        <v>806</v>
      </c>
      <c r="F190" s="53">
        <f>165*10.76</f>
        <v>1775.3999999999999</v>
      </c>
      <c r="G190" s="53">
        <v>24</v>
      </c>
      <c r="H190" s="53">
        <f t="shared" si="34"/>
        <v>42609.6</v>
      </c>
      <c r="I190" s="53">
        <v>9</v>
      </c>
      <c r="J190" s="53">
        <f t="shared" si="35"/>
        <v>15978.599999999999</v>
      </c>
      <c r="K190" s="53">
        <f t="shared" si="36"/>
        <v>58588.2</v>
      </c>
      <c r="N190" s="108">
        <f t="shared" si="26"/>
        <v>58588.2</v>
      </c>
    </row>
    <row r="191" spans="2:14" ht="21.75" customHeight="1">
      <c r="B191" s="51">
        <v>9</v>
      </c>
      <c r="C191" s="54" t="s">
        <v>30</v>
      </c>
      <c r="D191" s="54"/>
      <c r="E191" s="52" t="s">
        <v>806</v>
      </c>
      <c r="F191" s="53">
        <f>359*10.76</f>
        <v>3862.84</v>
      </c>
      <c r="G191" s="53">
        <v>30</v>
      </c>
      <c r="H191" s="53">
        <f t="shared" si="34"/>
        <v>115885.20000000001</v>
      </c>
      <c r="I191" s="53">
        <v>9</v>
      </c>
      <c r="J191" s="53">
        <f t="shared" si="35"/>
        <v>34765.56</v>
      </c>
      <c r="K191" s="53">
        <f t="shared" si="36"/>
        <v>150650.76</v>
      </c>
      <c r="N191" s="108">
        <f t="shared" si="26"/>
        <v>150650.76</v>
      </c>
    </row>
    <row r="192" spans="2:14" ht="21.75" customHeight="1">
      <c r="B192" s="51">
        <v>10</v>
      </c>
      <c r="C192" s="54" t="s">
        <v>254</v>
      </c>
      <c r="D192" s="54"/>
      <c r="E192" s="52" t="s">
        <v>255</v>
      </c>
      <c r="F192" s="53">
        <v>330</v>
      </c>
      <c r="G192" s="53">
        <v>35</v>
      </c>
      <c r="H192" s="53">
        <f t="shared" si="34"/>
        <v>11550</v>
      </c>
      <c r="I192" s="53">
        <v>0</v>
      </c>
      <c r="J192" s="53">
        <f t="shared" si="35"/>
        <v>0</v>
      </c>
      <c r="K192" s="53">
        <f t="shared" si="36"/>
        <v>11550</v>
      </c>
      <c r="N192" s="108">
        <f t="shared" si="26"/>
        <v>11550</v>
      </c>
    </row>
    <row r="193" spans="2:14" ht="21.75" customHeight="1">
      <c r="B193" s="51">
        <v>11</v>
      </c>
      <c r="C193" s="54" t="s">
        <v>31</v>
      </c>
      <c r="D193" s="54"/>
      <c r="E193" s="52" t="s">
        <v>252</v>
      </c>
      <c r="F193" s="53">
        <v>2</v>
      </c>
      <c r="G193" s="53">
        <v>6500</v>
      </c>
      <c r="H193" s="53">
        <f t="shared" si="34"/>
        <v>13000</v>
      </c>
      <c r="I193" s="53">
        <v>240</v>
      </c>
      <c r="J193" s="53">
        <f t="shared" si="35"/>
        <v>480</v>
      </c>
      <c r="K193" s="53">
        <f t="shared" si="36"/>
        <v>13480</v>
      </c>
      <c r="N193" s="108">
        <f t="shared" si="26"/>
        <v>13480</v>
      </c>
    </row>
    <row r="194" spans="2:14" ht="21.75" customHeight="1">
      <c r="B194" s="51">
        <v>12</v>
      </c>
      <c r="C194" s="54" t="s">
        <v>256</v>
      </c>
      <c r="D194" s="54"/>
      <c r="E194" s="52" t="s">
        <v>252</v>
      </c>
      <c r="F194" s="53">
        <v>30</v>
      </c>
      <c r="G194" s="53">
        <v>150</v>
      </c>
      <c r="H194" s="53">
        <f t="shared" si="34"/>
        <v>4500</v>
      </c>
      <c r="I194" s="53">
        <v>35</v>
      </c>
      <c r="J194" s="53">
        <f t="shared" si="35"/>
        <v>1050</v>
      </c>
      <c r="K194" s="53">
        <f t="shared" si="36"/>
        <v>5550</v>
      </c>
      <c r="N194" s="108">
        <f t="shared" si="26"/>
        <v>5550</v>
      </c>
    </row>
    <row r="195" spans="2:14" ht="21.75" customHeight="1">
      <c r="B195" s="51"/>
      <c r="C195" s="54"/>
      <c r="D195" s="54"/>
      <c r="E195" s="52"/>
      <c r="F195" s="53"/>
      <c r="G195" s="53"/>
      <c r="H195" s="53"/>
      <c r="I195" s="53"/>
      <c r="J195" s="53"/>
      <c r="K195" s="53"/>
      <c r="N195" s="108">
        <f t="shared" si="26"/>
        <v>0</v>
      </c>
    </row>
    <row r="196" spans="2:14" ht="21.75" customHeight="1">
      <c r="B196" s="51"/>
      <c r="C196" s="702" t="s">
        <v>234</v>
      </c>
      <c r="D196" s="703"/>
      <c r="E196" s="70"/>
      <c r="F196" s="71"/>
      <c r="G196" s="71"/>
      <c r="H196" s="71">
        <f>SUM(H182:H194)</f>
        <v>520722.68</v>
      </c>
      <c r="I196" s="71"/>
      <c r="J196" s="71">
        <f>SUM(J182:J194)</f>
        <v>124409.6</v>
      </c>
      <c r="K196" s="71">
        <f>SUM(K182:K194)</f>
        <v>645132.28</v>
      </c>
      <c r="M196" s="65">
        <f>SUM(H196,J196)</f>
        <v>645132.28</v>
      </c>
      <c r="N196" s="108">
        <f t="shared" si="26"/>
        <v>0</v>
      </c>
    </row>
    <row r="197" spans="2:14" ht="21.75" customHeight="1">
      <c r="B197" s="51"/>
      <c r="C197" s="54"/>
      <c r="D197" s="54"/>
      <c r="E197" s="52"/>
      <c r="F197" s="53"/>
      <c r="G197" s="53"/>
      <c r="H197" s="53"/>
      <c r="I197" s="53"/>
      <c r="J197" s="53"/>
      <c r="K197" s="53"/>
      <c r="N197" s="108">
        <f t="shared" si="26"/>
        <v>0</v>
      </c>
    </row>
    <row r="198" spans="2:14" ht="21.75" customHeight="1">
      <c r="B198" s="51"/>
      <c r="C198" s="54"/>
      <c r="D198" s="54"/>
      <c r="E198" s="52"/>
      <c r="F198" s="53"/>
      <c r="G198" s="53"/>
      <c r="H198" s="53"/>
      <c r="I198" s="53"/>
      <c r="J198" s="53"/>
      <c r="K198" s="53"/>
      <c r="N198" s="108">
        <f t="shared" si="26"/>
        <v>0</v>
      </c>
    </row>
    <row r="199" spans="2:14" ht="21.75" customHeight="1">
      <c r="B199" s="51"/>
      <c r="C199" s="702" t="s">
        <v>688</v>
      </c>
      <c r="D199" s="703"/>
      <c r="E199" s="52"/>
      <c r="F199" s="53"/>
      <c r="G199" s="53"/>
      <c r="H199" s="53"/>
      <c r="I199" s="53"/>
      <c r="J199" s="53"/>
      <c r="K199" s="53"/>
      <c r="N199" s="108">
        <f t="shared" si="26"/>
        <v>0</v>
      </c>
    </row>
    <row r="200" spans="2:14" ht="21.75" customHeight="1">
      <c r="B200" s="51"/>
      <c r="C200" s="54" t="s">
        <v>41</v>
      </c>
      <c r="D200" s="54" t="s">
        <v>63</v>
      </c>
      <c r="E200" s="52" t="s">
        <v>252</v>
      </c>
      <c r="F200" s="53">
        <v>10</v>
      </c>
      <c r="G200" s="53">
        <v>2640</v>
      </c>
      <c r="H200" s="53">
        <f>F200*G200</f>
        <v>26400</v>
      </c>
      <c r="I200" s="53">
        <v>300</v>
      </c>
      <c r="J200" s="53">
        <f>F200*I200</f>
        <v>3000</v>
      </c>
      <c r="K200" s="53">
        <f>(G200+I200)*F200</f>
        <v>29400</v>
      </c>
      <c r="N200" s="108">
        <f t="shared" si="26"/>
        <v>29400</v>
      </c>
    </row>
    <row r="201" spans="2:14" ht="21.75" customHeight="1">
      <c r="B201" s="51"/>
      <c r="C201" s="54" t="s">
        <v>42</v>
      </c>
      <c r="D201" s="54" t="s">
        <v>264</v>
      </c>
      <c r="E201" s="52" t="s">
        <v>252</v>
      </c>
      <c r="F201" s="53">
        <v>10</v>
      </c>
      <c r="G201" s="53">
        <v>2590</v>
      </c>
      <c r="H201" s="53">
        <f aca="true" t="shared" si="37" ref="H201:H218">F201*G201</f>
        <v>25900</v>
      </c>
      <c r="I201" s="53">
        <v>300</v>
      </c>
      <c r="J201" s="53">
        <f aca="true" t="shared" si="38" ref="J201:J218">F201*I201</f>
        <v>3000</v>
      </c>
      <c r="K201" s="53">
        <f aca="true" t="shared" si="39" ref="K201:K218">(G201+I201)*F201</f>
        <v>28900</v>
      </c>
      <c r="N201" s="108">
        <f t="shared" si="26"/>
        <v>28900</v>
      </c>
    </row>
    <row r="202" spans="2:14" ht="21.75" customHeight="1">
      <c r="B202" s="51"/>
      <c r="C202" s="54" t="s">
        <v>43</v>
      </c>
      <c r="D202" s="54" t="s">
        <v>264</v>
      </c>
      <c r="E202" s="52" t="s">
        <v>252</v>
      </c>
      <c r="F202" s="53">
        <v>16</v>
      </c>
      <c r="G202" s="53">
        <v>7570</v>
      </c>
      <c r="H202" s="53">
        <f t="shared" si="37"/>
        <v>121120</v>
      </c>
      <c r="I202" s="53">
        <v>625</v>
      </c>
      <c r="J202" s="53">
        <f t="shared" si="38"/>
        <v>10000</v>
      </c>
      <c r="K202" s="53">
        <f t="shared" si="39"/>
        <v>131120</v>
      </c>
      <c r="N202" s="108">
        <f t="shared" si="26"/>
        <v>131120</v>
      </c>
    </row>
    <row r="203" spans="2:14" ht="21.75" customHeight="1">
      <c r="B203" s="51"/>
      <c r="C203" s="54" t="s">
        <v>44</v>
      </c>
      <c r="D203" s="54" t="s">
        <v>64</v>
      </c>
      <c r="E203" s="52" t="s">
        <v>252</v>
      </c>
      <c r="F203" s="53">
        <v>19</v>
      </c>
      <c r="G203" s="53">
        <v>13990</v>
      </c>
      <c r="H203" s="53">
        <f t="shared" si="37"/>
        <v>265810</v>
      </c>
      <c r="I203" s="53">
        <v>1040</v>
      </c>
      <c r="J203" s="53">
        <f t="shared" si="38"/>
        <v>19760</v>
      </c>
      <c r="K203" s="53">
        <f t="shared" si="39"/>
        <v>285570</v>
      </c>
      <c r="N203" s="108">
        <f t="shared" si="26"/>
        <v>285570</v>
      </c>
    </row>
    <row r="204" spans="2:14" ht="21.75" customHeight="1">
      <c r="B204" s="51"/>
      <c r="C204" s="54" t="s">
        <v>45</v>
      </c>
      <c r="D204" s="54" t="s">
        <v>65</v>
      </c>
      <c r="E204" s="52" t="s">
        <v>252</v>
      </c>
      <c r="F204" s="53">
        <v>2</v>
      </c>
      <c r="G204" s="53">
        <v>1920</v>
      </c>
      <c r="H204" s="53">
        <f t="shared" si="37"/>
        <v>3840</v>
      </c>
      <c r="I204" s="53">
        <v>300</v>
      </c>
      <c r="J204" s="53">
        <f t="shared" si="38"/>
        <v>600</v>
      </c>
      <c r="K204" s="53">
        <f t="shared" si="39"/>
        <v>4440</v>
      </c>
      <c r="N204" s="108">
        <f t="shared" si="26"/>
        <v>4440</v>
      </c>
    </row>
    <row r="205" spans="2:14" ht="21.75" customHeight="1">
      <c r="B205" s="51"/>
      <c r="C205" s="54" t="s">
        <v>257</v>
      </c>
      <c r="D205" s="54" t="s">
        <v>258</v>
      </c>
      <c r="E205" s="52" t="s">
        <v>252</v>
      </c>
      <c r="F205" s="53">
        <v>31</v>
      </c>
      <c r="G205" s="53">
        <v>2590</v>
      </c>
      <c r="H205" s="53">
        <f t="shared" si="37"/>
        <v>80290</v>
      </c>
      <c r="I205" s="53">
        <v>300</v>
      </c>
      <c r="J205" s="53">
        <f t="shared" si="38"/>
        <v>9300</v>
      </c>
      <c r="K205" s="53">
        <f t="shared" si="39"/>
        <v>89590</v>
      </c>
      <c r="N205" s="108">
        <f t="shared" si="26"/>
        <v>89590</v>
      </c>
    </row>
    <row r="206" spans="2:14" ht="21.75" customHeight="1">
      <c r="B206" s="51"/>
      <c r="C206" s="54" t="s">
        <v>259</v>
      </c>
      <c r="D206" s="54" t="s">
        <v>260</v>
      </c>
      <c r="E206" s="52" t="s">
        <v>252</v>
      </c>
      <c r="F206" s="53">
        <v>29</v>
      </c>
      <c r="G206" s="53">
        <v>2485</v>
      </c>
      <c r="H206" s="53">
        <f t="shared" si="37"/>
        <v>72065</v>
      </c>
      <c r="I206" s="53">
        <v>300</v>
      </c>
      <c r="J206" s="53">
        <f t="shared" si="38"/>
        <v>8700</v>
      </c>
      <c r="K206" s="53">
        <f t="shared" si="39"/>
        <v>80765</v>
      </c>
      <c r="N206" s="108">
        <f t="shared" si="26"/>
        <v>80765</v>
      </c>
    </row>
    <row r="207" spans="2:14" ht="21.75" customHeight="1">
      <c r="B207" s="51"/>
      <c r="C207" s="54" t="s">
        <v>46</v>
      </c>
      <c r="D207" s="54" t="s">
        <v>64</v>
      </c>
      <c r="E207" s="52" t="s">
        <v>252</v>
      </c>
      <c r="F207" s="53">
        <v>1</v>
      </c>
      <c r="G207" s="53">
        <v>13990</v>
      </c>
      <c r="H207" s="53">
        <f t="shared" si="37"/>
        <v>13990</v>
      </c>
      <c r="I207" s="53">
        <v>1040</v>
      </c>
      <c r="J207" s="53">
        <f t="shared" si="38"/>
        <v>1040</v>
      </c>
      <c r="K207" s="53">
        <f t="shared" si="39"/>
        <v>15030</v>
      </c>
      <c r="N207" s="108">
        <f t="shared" si="26"/>
        <v>15030</v>
      </c>
    </row>
    <row r="208" spans="2:14" ht="21.75" customHeight="1">
      <c r="B208" s="51"/>
      <c r="C208" s="54" t="s">
        <v>265</v>
      </c>
      <c r="D208" s="54" t="s">
        <v>66</v>
      </c>
      <c r="E208" s="52" t="s">
        <v>252</v>
      </c>
      <c r="F208" s="53">
        <v>1</v>
      </c>
      <c r="G208" s="53">
        <v>1920</v>
      </c>
      <c r="H208" s="53">
        <f t="shared" si="37"/>
        <v>1920</v>
      </c>
      <c r="I208" s="53">
        <v>250</v>
      </c>
      <c r="J208" s="53">
        <f t="shared" si="38"/>
        <v>250</v>
      </c>
      <c r="K208" s="53">
        <f t="shared" si="39"/>
        <v>2170</v>
      </c>
      <c r="N208" s="108">
        <f aca="true" t="shared" si="40" ref="N208:N272">(G208+I208)*F208</f>
        <v>2170</v>
      </c>
    </row>
    <row r="209" spans="2:14" ht="21.75" customHeight="1">
      <c r="B209" s="51"/>
      <c r="C209" s="54" t="s">
        <v>47</v>
      </c>
      <c r="D209" s="54" t="s">
        <v>65</v>
      </c>
      <c r="E209" s="52" t="s">
        <v>252</v>
      </c>
      <c r="F209" s="53">
        <v>4</v>
      </c>
      <c r="G209" s="53">
        <v>5850</v>
      </c>
      <c r="H209" s="53">
        <f t="shared" si="37"/>
        <v>23400</v>
      </c>
      <c r="I209" s="53">
        <v>650</v>
      </c>
      <c r="J209" s="53">
        <f t="shared" si="38"/>
        <v>2600</v>
      </c>
      <c r="K209" s="53">
        <f t="shared" si="39"/>
        <v>26000</v>
      </c>
      <c r="N209" s="108">
        <f t="shared" si="40"/>
        <v>26000</v>
      </c>
    </row>
    <row r="210" spans="2:14" ht="21.75" customHeight="1">
      <c r="B210" s="51"/>
      <c r="C210" s="54" t="s">
        <v>48</v>
      </c>
      <c r="D210" s="54" t="s">
        <v>67</v>
      </c>
      <c r="E210" s="52" t="s">
        <v>252</v>
      </c>
      <c r="F210" s="53">
        <v>1</v>
      </c>
      <c r="G210" s="53">
        <v>3600</v>
      </c>
      <c r="H210" s="53">
        <f t="shared" si="37"/>
        <v>3600</v>
      </c>
      <c r="I210" s="53">
        <v>500</v>
      </c>
      <c r="J210" s="53">
        <f t="shared" si="38"/>
        <v>500</v>
      </c>
      <c r="K210" s="53">
        <f t="shared" si="39"/>
        <v>4100</v>
      </c>
      <c r="N210" s="108">
        <f t="shared" si="40"/>
        <v>4100</v>
      </c>
    </row>
    <row r="211" spans="2:14" ht="21.75" customHeight="1">
      <c r="B211" s="51"/>
      <c r="C211" s="54" t="s">
        <v>49</v>
      </c>
      <c r="D211" s="54" t="s">
        <v>68</v>
      </c>
      <c r="E211" s="52" t="s">
        <v>252</v>
      </c>
      <c r="F211" s="53">
        <v>2</v>
      </c>
      <c r="G211" s="53">
        <v>10500</v>
      </c>
      <c r="H211" s="53">
        <f t="shared" si="37"/>
        <v>21000</v>
      </c>
      <c r="I211" s="53">
        <v>0</v>
      </c>
      <c r="J211" s="53">
        <f t="shared" si="38"/>
        <v>0</v>
      </c>
      <c r="K211" s="53">
        <f t="shared" si="39"/>
        <v>21000</v>
      </c>
      <c r="N211" s="108">
        <f t="shared" si="40"/>
        <v>21000</v>
      </c>
    </row>
    <row r="212" spans="2:14" ht="21.75" customHeight="1">
      <c r="B212" s="51"/>
      <c r="C212" s="54" t="s">
        <v>50</v>
      </c>
      <c r="D212" s="54" t="s">
        <v>69</v>
      </c>
      <c r="E212" s="52" t="s">
        <v>252</v>
      </c>
      <c r="F212" s="53">
        <v>1</v>
      </c>
      <c r="G212" s="53">
        <v>5290</v>
      </c>
      <c r="H212" s="53">
        <f t="shared" si="37"/>
        <v>5290</v>
      </c>
      <c r="I212" s="53">
        <v>580</v>
      </c>
      <c r="J212" s="53">
        <f t="shared" si="38"/>
        <v>580</v>
      </c>
      <c r="K212" s="53">
        <f t="shared" si="39"/>
        <v>5870</v>
      </c>
      <c r="N212" s="108">
        <f t="shared" si="40"/>
        <v>5870</v>
      </c>
    </row>
    <row r="213" spans="2:14" ht="21.75" customHeight="1">
      <c r="B213" s="51"/>
      <c r="C213" s="54" t="s">
        <v>51</v>
      </c>
      <c r="D213" s="54" t="s">
        <v>70</v>
      </c>
      <c r="E213" s="52" t="s">
        <v>252</v>
      </c>
      <c r="F213" s="53">
        <v>19</v>
      </c>
      <c r="G213" s="53">
        <v>2520</v>
      </c>
      <c r="H213" s="53">
        <f t="shared" si="37"/>
        <v>47880</v>
      </c>
      <c r="I213" s="53">
        <v>250</v>
      </c>
      <c r="J213" s="53">
        <f t="shared" si="38"/>
        <v>4750</v>
      </c>
      <c r="K213" s="53">
        <f t="shared" si="39"/>
        <v>52630</v>
      </c>
      <c r="N213" s="108">
        <f t="shared" si="40"/>
        <v>52630</v>
      </c>
    </row>
    <row r="214" spans="2:14" ht="21.75" customHeight="1">
      <c r="B214" s="51"/>
      <c r="C214" s="54" t="s">
        <v>269</v>
      </c>
      <c r="D214" s="54" t="s">
        <v>71</v>
      </c>
      <c r="E214" s="52" t="s">
        <v>252</v>
      </c>
      <c r="F214" s="53">
        <v>25</v>
      </c>
      <c r="G214" s="53">
        <v>2390</v>
      </c>
      <c r="H214" s="53">
        <f t="shared" si="37"/>
        <v>59750</v>
      </c>
      <c r="I214" s="53">
        <v>250</v>
      </c>
      <c r="J214" s="53">
        <f t="shared" si="38"/>
        <v>6250</v>
      </c>
      <c r="K214" s="53">
        <f t="shared" si="39"/>
        <v>66000</v>
      </c>
      <c r="N214" s="108">
        <f t="shared" si="40"/>
        <v>66000</v>
      </c>
    </row>
    <row r="215" spans="2:14" ht="21.75" customHeight="1">
      <c r="B215" s="51"/>
      <c r="C215" s="54" t="s">
        <v>266</v>
      </c>
      <c r="D215" s="54" t="s">
        <v>72</v>
      </c>
      <c r="E215" s="52" t="s">
        <v>252</v>
      </c>
      <c r="F215" s="53">
        <v>103</v>
      </c>
      <c r="G215" s="53">
        <v>2090</v>
      </c>
      <c r="H215" s="53">
        <f t="shared" si="37"/>
        <v>215270</v>
      </c>
      <c r="I215" s="53">
        <v>200</v>
      </c>
      <c r="J215" s="53">
        <f t="shared" si="38"/>
        <v>20600</v>
      </c>
      <c r="K215" s="53">
        <f t="shared" si="39"/>
        <v>235870</v>
      </c>
      <c r="N215" s="108">
        <f t="shared" si="40"/>
        <v>235870</v>
      </c>
    </row>
    <row r="216" spans="2:14" ht="21.75" customHeight="1">
      <c r="B216" s="51"/>
      <c r="C216" s="54" t="s">
        <v>52</v>
      </c>
      <c r="D216" s="54" t="s">
        <v>73</v>
      </c>
      <c r="E216" s="52" t="s">
        <v>252</v>
      </c>
      <c r="F216" s="53">
        <v>1</v>
      </c>
      <c r="G216" s="53">
        <v>4180</v>
      </c>
      <c r="H216" s="53">
        <f t="shared" si="37"/>
        <v>4180</v>
      </c>
      <c r="I216" s="53">
        <v>400</v>
      </c>
      <c r="J216" s="53">
        <f t="shared" si="38"/>
        <v>400</v>
      </c>
      <c r="K216" s="53">
        <f t="shared" si="39"/>
        <v>4580</v>
      </c>
      <c r="N216" s="108">
        <f t="shared" si="40"/>
        <v>4580</v>
      </c>
    </row>
    <row r="217" spans="2:14" ht="21.75" customHeight="1">
      <c r="B217" s="51"/>
      <c r="C217" s="54" t="s">
        <v>53</v>
      </c>
      <c r="D217" s="54" t="s">
        <v>74</v>
      </c>
      <c r="E217" s="52" t="s">
        <v>252</v>
      </c>
      <c r="F217" s="53">
        <v>7</v>
      </c>
      <c r="G217" s="53">
        <v>1100</v>
      </c>
      <c r="H217" s="53">
        <f t="shared" si="37"/>
        <v>7700</v>
      </c>
      <c r="I217" s="53">
        <v>200</v>
      </c>
      <c r="J217" s="53">
        <f t="shared" si="38"/>
        <v>1400</v>
      </c>
      <c r="K217" s="53">
        <f t="shared" si="39"/>
        <v>9100</v>
      </c>
      <c r="N217" s="108">
        <f t="shared" si="40"/>
        <v>9100</v>
      </c>
    </row>
    <row r="218" spans="2:14" ht="21.75" customHeight="1">
      <c r="B218" s="51"/>
      <c r="C218" s="54" t="s">
        <v>263</v>
      </c>
      <c r="D218" s="54" t="s">
        <v>258</v>
      </c>
      <c r="E218" s="52" t="s">
        <v>252</v>
      </c>
      <c r="F218" s="53">
        <v>3</v>
      </c>
      <c r="G218" s="53">
        <v>8750</v>
      </c>
      <c r="H218" s="53">
        <f t="shared" si="37"/>
        <v>26250</v>
      </c>
      <c r="I218" s="53">
        <v>500</v>
      </c>
      <c r="J218" s="53">
        <f t="shared" si="38"/>
        <v>1500</v>
      </c>
      <c r="K218" s="53">
        <f t="shared" si="39"/>
        <v>27750</v>
      </c>
      <c r="N218" s="108">
        <f t="shared" si="40"/>
        <v>27750</v>
      </c>
    </row>
    <row r="219" spans="2:14" ht="21.75" customHeight="1">
      <c r="B219" s="51"/>
      <c r="C219" s="54" t="s">
        <v>55</v>
      </c>
      <c r="D219" s="54" t="s">
        <v>264</v>
      </c>
      <c r="E219" s="52" t="s">
        <v>252</v>
      </c>
      <c r="F219" s="53">
        <v>2</v>
      </c>
      <c r="G219" s="53">
        <v>2590</v>
      </c>
      <c r="H219" s="53">
        <f aca="true" t="shared" si="41" ref="H219:H231">F219*G219</f>
        <v>5180</v>
      </c>
      <c r="I219" s="53">
        <v>250</v>
      </c>
      <c r="J219" s="53">
        <f aca="true" t="shared" si="42" ref="J219:J231">F219*I219</f>
        <v>500</v>
      </c>
      <c r="K219" s="53">
        <f aca="true" t="shared" si="43" ref="K219:K231">(G219+I219)*F219</f>
        <v>5680</v>
      </c>
      <c r="N219" s="108">
        <f t="shared" si="40"/>
        <v>5680</v>
      </c>
    </row>
    <row r="220" spans="2:14" ht="21.75" customHeight="1">
      <c r="B220" s="51"/>
      <c r="C220" s="54" t="s">
        <v>54</v>
      </c>
      <c r="D220" s="54" t="s">
        <v>75</v>
      </c>
      <c r="E220" s="52" t="s">
        <v>252</v>
      </c>
      <c r="F220" s="53">
        <v>8</v>
      </c>
      <c r="G220" s="53">
        <v>16810</v>
      </c>
      <c r="H220" s="53">
        <f t="shared" si="41"/>
        <v>134480</v>
      </c>
      <c r="I220" s="53">
        <v>2080</v>
      </c>
      <c r="J220" s="53">
        <f t="shared" si="42"/>
        <v>16640</v>
      </c>
      <c r="K220" s="53">
        <f t="shared" si="43"/>
        <v>151120</v>
      </c>
      <c r="N220" s="108">
        <f t="shared" si="40"/>
        <v>151120</v>
      </c>
    </row>
    <row r="221" spans="2:14" ht="21.75" customHeight="1">
      <c r="B221" s="51"/>
      <c r="C221" s="54" t="s">
        <v>267</v>
      </c>
      <c r="D221" s="54" t="s">
        <v>268</v>
      </c>
      <c r="E221" s="52" t="s">
        <v>252</v>
      </c>
      <c r="F221" s="53">
        <v>2</v>
      </c>
      <c r="G221" s="53" t="s">
        <v>80</v>
      </c>
      <c r="H221" s="53"/>
      <c r="I221" s="53"/>
      <c r="J221" s="53"/>
      <c r="K221" s="53"/>
      <c r="N221" s="108"/>
    </row>
    <row r="222" spans="2:14" ht="21.75" customHeight="1">
      <c r="B222" s="51"/>
      <c r="C222" s="54" t="s">
        <v>270</v>
      </c>
      <c r="D222" s="54" t="s">
        <v>76</v>
      </c>
      <c r="E222" s="52" t="s">
        <v>252</v>
      </c>
      <c r="F222" s="53">
        <v>14</v>
      </c>
      <c r="G222" s="53" t="s">
        <v>80</v>
      </c>
      <c r="H222" s="53"/>
      <c r="I222" s="53"/>
      <c r="J222" s="53"/>
      <c r="K222" s="53"/>
      <c r="N222" s="108"/>
    </row>
    <row r="223" spans="2:14" ht="21.75" customHeight="1">
      <c r="B223" s="51"/>
      <c r="C223" s="54" t="s">
        <v>56</v>
      </c>
      <c r="D223" s="54" t="s">
        <v>77</v>
      </c>
      <c r="E223" s="52" t="s">
        <v>252</v>
      </c>
      <c r="F223" s="53">
        <v>2</v>
      </c>
      <c r="G223" s="53">
        <v>3360</v>
      </c>
      <c r="H223" s="53">
        <f t="shared" si="41"/>
        <v>6720</v>
      </c>
      <c r="I223" s="53">
        <v>400</v>
      </c>
      <c r="J223" s="53">
        <f t="shared" si="42"/>
        <v>800</v>
      </c>
      <c r="K223" s="53">
        <f t="shared" si="43"/>
        <v>7520</v>
      </c>
      <c r="N223" s="108">
        <f t="shared" si="40"/>
        <v>7520</v>
      </c>
    </row>
    <row r="224" spans="2:14" ht="21.75" customHeight="1">
      <c r="B224" s="51"/>
      <c r="C224" s="54" t="s">
        <v>57</v>
      </c>
      <c r="D224" s="54" t="s">
        <v>334</v>
      </c>
      <c r="E224" s="52" t="s">
        <v>252</v>
      </c>
      <c r="F224" s="53">
        <v>6</v>
      </c>
      <c r="G224" s="53">
        <v>2140</v>
      </c>
      <c r="H224" s="53">
        <f t="shared" si="41"/>
        <v>12840</v>
      </c>
      <c r="I224" s="53">
        <v>200</v>
      </c>
      <c r="J224" s="53">
        <f t="shared" si="42"/>
        <v>1200</v>
      </c>
      <c r="K224" s="53">
        <f t="shared" si="43"/>
        <v>14040</v>
      </c>
      <c r="N224" s="108">
        <f t="shared" si="40"/>
        <v>14040</v>
      </c>
    </row>
    <row r="225" spans="2:14" ht="21.75" customHeight="1">
      <c r="B225" s="51"/>
      <c r="C225" s="54" t="s">
        <v>58</v>
      </c>
      <c r="D225" s="54" t="s">
        <v>72</v>
      </c>
      <c r="E225" s="52" t="s">
        <v>252</v>
      </c>
      <c r="F225" s="53">
        <v>6</v>
      </c>
      <c r="G225" s="53">
        <v>1890</v>
      </c>
      <c r="H225" s="53">
        <f t="shared" si="41"/>
        <v>11340</v>
      </c>
      <c r="I225" s="53">
        <v>250</v>
      </c>
      <c r="J225" s="53">
        <f t="shared" si="42"/>
        <v>1500</v>
      </c>
      <c r="K225" s="53">
        <f t="shared" si="43"/>
        <v>12840</v>
      </c>
      <c r="N225" s="108">
        <f t="shared" si="40"/>
        <v>12840</v>
      </c>
    </row>
    <row r="226" spans="2:14" ht="21.75" customHeight="1">
      <c r="B226" s="51"/>
      <c r="C226" s="54" t="s">
        <v>59</v>
      </c>
      <c r="D226" s="54" t="s">
        <v>78</v>
      </c>
      <c r="E226" s="52" t="s">
        <v>252</v>
      </c>
      <c r="F226" s="53">
        <v>10</v>
      </c>
      <c r="G226" s="53">
        <v>2640</v>
      </c>
      <c r="H226" s="53">
        <f t="shared" si="41"/>
        <v>26400</v>
      </c>
      <c r="I226" s="53">
        <v>300</v>
      </c>
      <c r="J226" s="53">
        <f t="shared" si="42"/>
        <v>3000</v>
      </c>
      <c r="K226" s="53">
        <f t="shared" si="43"/>
        <v>29400</v>
      </c>
      <c r="N226" s="108">
        <f t="shared" si="40"/>
        <v>29400</v>
      </c>
    </row>
    <row r="227" spans="2:14" ht="21.75" customHeight="1">
      <c r="B227" s="51"/>
      <c r="C227" s="54" t="s">
        <v>60</v>
      </c>
      <c r="D227" s="54" t="s">
        <v>264</v>
      </c>
      <c r="E227" s="52" t="s">
        <v>252</v>
      </c>
      <c r="F227" s="53">
        <v>8</v>
      </c>
      <c r="G227" s="53">
        <v>3400</v>
      </c>
      <c r="H227" s="53">
        <f t="shared" si="41"/>
        <v>27200</v>
      </c>
      <c r="I227" s="53">
        <v>300</v>
      </c>
      <c r="J227" s="53">
        <f t="shared" si="42"/>
        <v>2400</v>
      </c>
      <c r="K227" s="53">
        <f t="shared" si="43"/>
        <v>29600</v>
      </c>
      <c r="N227" s="108">
        <f t="shared" si="40"/>
        <v>29600</v>
      </c>
    </row>
    <row r="228" spans="2:14" ht="21.75" customHeight="1">
      <c r="B228" s="51"/>
      <c r="C228" s="54" t="s">
        <v>61</v>
      </c>
      <c r="D228" s="54" t="s">
        <v>79</v>
      </c>
      <c r="E228" s="52" t="s">
        <v>252</v>
      </c>
      <c r="F228" s="53">
        <v>1</v>
      </c>
      <c r="G228" s="53">
        <v>2640</v>
      </c>
      <c r="H228" s="53">
        <f t="shared" si="41"/>
        <v>2640</v>
      </c>
      <c r="I228" s="53">
        <v>300</v>
      </c>
      <c r="J228" s="53">
        <f t="shared" si="42"/>
        <v>300</v>
      </c>
      <c r="K228" s="53">
        <f t="shared" si="43"/>
        <v>2940</v>
      </c>
      <c r="N228" s="108">
        <f t="shared" si="40"/>
        <v>2940</v>
      </c>
    </row>
    <row r="229" spans="2:14" ht="21.75" customHeight="1">
      <c r="B229" s="51"/>
      <c r="C229" s="54" t="s">
        <v>263</v>
      </c>
      <c r="D229" s="54" t="s">
        <v>258</v>
      </c>
      <c r="E229" s="52" t="s">
        <v>252</v>
      </c>
      <c r="F229" s="53">
        <v>0</v>
      </c>
      <c r="G229" s="53">
        <v>8750</v>
      </c>
      <c r="H229" s="53">
        <f t="shared" si="41"/>
        <v>0</v>
      </c>
      <c r="I229" s="53">
        <v>500</v>
      </c>
      <c r="J229" s="53">
        <f t="shared" si="42"/>
        <v>0</v>
      </c>
      <c r="K229" s="53">
        <f t="shared" si="43"/>
        <v>0</v>
      </c>
      <c r="N229" s="108">
        <f t="shared" si="40"/>
        <v>0</v>
      </c>
    </row>
    <row r="230" spans="2:14" ht="21.75" customHeight="1">
      <c r="B230" s="51"/>
      <c r="C230" s="54" t="s">
        <v>261</v>
      </c>
      <c r="D230" s="54" t="s">
        <v>262</v>
      </c>
      <c r="E230" s="52" t="s">
        <v>252</v>
      </c>
      <c r="F230" s="53">
        <v>2</v>
      </c>
      <c r="G230" s="53">
        <v>10200</v>
      </c>
      <c r="H230" s="53">
        <f>F230*G230</f>
        <v>20400</v>
      </c>
      <c r="I230" s="53">
        <v>0</v>
      </c>
      <c r="J230" s="53">
        <f>F230*I230</f>
        <v>0</v>
      </c>
      <c r="K230" s="53">
        <f>(G230+I230)*F230</f>
        <v>20400</v>
      </c>
      <c r="N230" s="108">
        <f t="shared" si="40"/>
        <v>20400</v>
      </c>
    </row>
    <row r="231" spans="2:14" ht="21.75" customHeight="1">
      <c r="B231" s="51"/>
      <c r="C231" s="54" t="s">
        <v>62</v>
      </c>
      <c r="D231" s="54" t="s">
        <v>258</v>
      </c>
      <c r="E231" s="52" t="s">
        <v>252</v>
      </c>
      <c r="F231" s="53">
        <v>1</v>
      </c>
      <c r="G231" s="53">
        <v>3400</v>
      </c>
      <c r="H231" s="53">
        <f t="shared" si="41"/>
        <v>3400</v>
      </c>
      <c r="I231" s="53">
        <v>300</v>
      </c>
      <c r="J231" s="53">
        <f t="shared" si="42"/>
        <v>300</v>
      </c>
      <c r="K231" s="53">
        <f t="shared" si="43"/>
        <v>3700</v>
      </c>
      <c r="N231" s="108">
        <f t="shared" si="40"/>
        <v>3700</v>
      </c>
    </row>
    <row r="232" spans="2:14" ht="21.75" customHeight="1">
      <c r="B232" s="51"/>
      <c r="C232" s="54" t="s">
        <v>148</v>
      </c>
      <c r="D232" s="54"/>
      <c r="E232" s="52"/>
      <c r="F232" s="53"/>
      <c r="G232" s="53"/>
      <c r="H232" s="53"/>
      <c r="I232" s="53"/>
      <c r="J232" s="53"/>
      <c r="K232" s="53"/>
      <c r="N232" s="108">
        <f t="shared" si="40"/>
        <v>0</v>
      </c>
    </row>
    <row r="233" spans="2:14" ht="21.75" customHeight="1">
      <c r="B233" s="51"/>
      <c r="C233" s="54"/>
      <c r="D233" s="54" t="s">
        <v>149</v>
      </c>
      <c r="E233" s="52" t="s">
        <v>252</v>
      </c>
      <c r="F233" s="53">
        <v>1</v>
      </c>
      <c r="G233" s="53">
        <v>4500</v>
      </c>
      <c r="H233" s="53">
        <f>F233*G233</f>
        <v>4500</v>
      </c>
      <c r="I233" s="53">
        <v>200</v>
      </c>
      <c r="J233" s="53">
        <f>F233*I233</f>
        <v>200</v>
      </c>
      <c r="K233" s="53">
        <f>(G233+I233)*F233</f>
        <v>4700</v>
      </c>
      <c r="N233" s="108">
        <f t="shared" si="40"/>
        <v>4700</v>
      </c>
    </row>
    <row r="234" spans="2:14" ht="21.75" customHeight="1">
      <c r="B234" s="51"/>
      <c r="C234" s="54"/>
      <c r="D234" s="54" t="s">
        <v>150</v>
      </c>
      <c r="E234" s="52" t="s">
        <v>252</v>
      </c>
      <c r="F234" s="53">
        <v>1</v>
      </c>
      <c r="G234" s="53">
        <v>1600</v>
      </c>
      <c r="H234" s="53">
        <f>F234*G234</f>
        <v>1600</v>
      </c>
      <c r="I234" s="53">
        <v>150</v>
      </c>
      <c r="J234" s="53">
        <f>F234*I234</f>
        <v>150</v>
      </c>
      <c r="K234" s="53">
        <f>(G234+I234)*F234</f>
        <v>1750</v>
      </c>
      <c r="N234" s="108">
        <f t="shared" si="40"/>
        <v>1750</v>
      </c>
    </row>
    <row r="235" spans="2:14" ht="21.75" customHeight="1">
      <c r="B235" s="51"/>
      <c r="C235" s="54"/>
      <c r="D235" s="54"/>
      <c r="E235" s="52"/>
      <c r="F235" s="53"/>
      <c r="G235" s="53"/>
      <c r="H235" s="53"/>
      <c r="I235" s="53"/>
      <c r="J235" s="53"/>
      <c r="K235" s="53"/>
      <c r="N235" s="108">
        <f t="shared" si="40"/>
        <v>0</v>
      </c>
    </row>
    <row r="236" spans="2:14" ht="21.75" customHeight="1">
      <c r="B236" s="51"/>
      <c r="C236" s="702" t="s">
        <v>234</v>
      </c>
      <c r="D236" s="703"/>
      <c r="E236" s="70"/>
      <c r="F236" s="71"/>
      <c r="G236" s="71"/>
      <c r="H236" s="71">
        <f>SUM(H199:H234)</f>
        <v>1282355</v>
      </c>
      <c r="I236" s="71"/>
      <c r="J236" s="71">
        <f>SUM(J199:J234)</f>
        <v>121220</v>
      </c>
      <c r="K236" s="71">
        <f>SUM(K199:K234)</f>
        <v>1403575</v>
      </c>
      <c r="M236" s="65">
        <f>SUM(H236,J236)</f>
        <v>1403575</v>
      </c>
      <c r="N236" s="108">
        <f t="shared" si="40"/>
        <v>0</v>
      </c>
    </row>
    <row r="237" spans="2:14" ht="21.75" customHeight="1">
      <c r="B237" s="51"/>
      <c r="C237" s="54"/>
      <c r="D237" s="54"/>
      <c r="E237" s="52"/>
      <c r="F237" s="53"/>
      <c r="G237" s="53"/>
      <c r="H237" s="53"/>
      <c r="I237" s="53"/>
      <c r="J237" s="53"/>
      <c r="K237" s="53"/>
      <c r="N237" s="108">
        <f t="shared" si="40"/>
        <v>0</v>
      </c>
    </row>
    <row r="238" spans="2:14" ht="21.75" customHeight="1">
      <c r="B238" s="51"/>
      <c r="C238" s="54"/>
      <c r="D238" s="54"/>
      <c r="E238" s="52"/>
      <c r="F238" s="53"/>
      <c r="G238" s="53"/>
      <c r="H238" s="53"/>
      <c r="I238" s="53"/>
      <c r="J238" s="53"/>
      <c r="K238" s="53"/>
      <c r="N238" s="108">
        <f t="shared" si="40"/>
        <v>0</v>
      </c>
    </row>
    <row r="239" spans="2:14" ht="21.75" customHeight="1">
      <c r="B239" s="51"/>
      <c r="C239" s="702" t="s">
        <v>687</v>
      </c>
      <c r="D239" s="703"/>
      <c r="E239" s="51"/>
      <c r="F239" s="53"/>
      <c r="G239" s="53"/>
      <c r="H239" s="53"/>
      <c r="I239" s="53"/>
      <c r="J239" s="53"/>
      <c r="K239" s="53"/>
      <c r="N239" s="108">
        <f t="shared" si="40"/>
        <v>0</v>
      </c>
    </row>
    <row r="240" spans="2:14" ht="21.75" customHeight="1">
      <c r="B240" s="51">
        <v>1</v>
      </c>
      <c r="C240" s="54" t="s">
        <v>732</v>
      </c>
      <c r="D240" s="54"/>
      <c r="E240" s="52" t="s">
        <v>252</v>
      </c>
      <c r="F240" s="53">
        <v>41</v>
      </c>
      <c r="G240" s="53">
        <v>3060</v>
      </c>
      <c r="H240" s="53">
        <f aca="true" t="shared" si="44" ref="H240:H260">F240*G240</f>
        <v>125460</v>
      </c>
      <c r="I240" s="53">
        <v>450</v>
      </c>
      <c r="J240" s="53">
        <f aca="true" t="shared" si="45" ref="J240:J260">F240*I240</f>
        <v>18450</v>
      </c>
      <c r="K240" s="53">
        <f aca="true" t="shared" si="46" ref="K240:K260">(G240+I240)*F240</f>
        <v>143910</v>
      </c>
      <c r="N240" s="108">
        <f t="shared" si="40"/>
        <v>143910</v>
      </c>
    </row>
    <row r="241" spans="2:14" ht="21.75" customHeight="1">
      <c r="B241" s="51">
        <v>2</v>
      </c>
      <c r="C241" s="54" t="s">
        <v>733</v>
      </c>
      <c r="D241" s="54"/>
      <c r="E241" s="52" t="s">
        <v>252</v>
      </c>
      <c r="F241" s="53">
        <v>18</v>
      </c>
      <c r="G241" s="53">
        <v>3770</v>
      </c>
      <c r="H241" s="53">
        <f>F241*G241</f>
        <v>67860</v>
      </c>
      <c r="I241" s="53">
        <v>450</v>
      </c>
      <c r="J241" s="53">
        <f>F241*I241</f>
        <v>8100</v>
      </c>
      <c r="K241" s="53">
        <f>(G241+I241)*F241</f>
        <v>75960</v>
      </c>
      <c r="N241" s="108">
        <f t="shared" si="40"/>
        <v>75960</v>
      </c>
    </row>
    <row r="242" spans="2:14" ht="21.75" customHeight="1">
      <c r="B242" s="51">
        <v>3</v>
      </c>
      <c r="C242" s="54" t="s">
        <v>271</v>
      </c>
      <c r="D242" s="54"/>
      <c r="E242" s="52" t="s">
        <v>252</v>
      </c>
      <c r="F242" s="53">
        <v>53</v>
      </c>
      <c r="G242" s="53">
        <v>440</v>
      </c>
      <c r="H242" s="53">
        <f t="shared" si="44"/>
        <v>23320</v>
      </c>
      <c r="I242" s="53">
        <v>35</v>
      </c>
      <c r="J242" s="53">
        <f t="shared" si="45"/>
        <v>1855</v>
      </c>
      <c r="K242" s="53">
        <f t="shared" si="46"/>
        <v>25175</v>
      </c>
      <c r="N242" s="108">
        <f t="shared" si="40"/>
        <v>25175</v>
      </c>
    </row>
    <row r="243" spans="2:14" ht="21.75" customHeight="1">
      <c r="B243" s="51">
        <v>4</v>
      </c>
      <c r="C243" s="54" t="s">
        <v>735</v>
      </c>
      <c r="D243" s="54"/>
      <c r="E243" s="52" t="s">
        <v>252</v>
      </c>
      <c r="F243" s="53">
        <v>20</v>
      </c>
      <c r="G243" s="53">
        <v>3430</v>
      </c>
      <c r="H243" s="53">
        <f t="shared" si="44"/>
        <v>68600</v>
      </c>
      <c r="I243" s="53">
        <v>450</v>
      </c>
      <c r="J243" s="53">
        <f t="shared" si="45"/>
        <v>9000</v>
      </c>
      <c r="K243" s="53">
        <f t="shared" si="46"/>
        <v>77600</v>
      </c>
      <c r="N243" s="108">
        <f t="shared" si="40"/>
        <v>77600</v>
      </c>
    </row>
    <row r="244" spans="2:14" ht="21.75" customHeight="1">
      <c r="B244" s="51">
        <v>5</v>
      </c>
      <c r="C244" s="54" t="s">
        <v>734</v>
      </c>
      <c r="D244" s="54"/>
      <c r="E244" s="52" t="s">
        <v>252</v>
      </c>
      <c r="F244" s="53">
        <v>27</v>
      </c>
      <c r="G244" s="53">
        <v>2790</v>
      </c>
      <c r="H244" s="53">
        <f t="shared" si="44"/>
        <v>75330</v>
      </c>
      <c r="I244" s="53">
        <v>450</v>
      </c>
      <c r="J244" s="53">
        <f t="shared" si="45"/>
        <v>12150</v>
      </c>
      <c r="K244" s="53">
        <f t="shared" si="46"/>
        <v>87480</v>
      </c>
      <c r="N244" s="108">
        <f t="shared" si="40"/>
        <v>87480</v>
      </c>
    </row>
    <row r="245" spans="2:14" ht="21.75" customHeight="1">
      <c r="B245" s="51">
        <v>6</v>
      </c>
      <c r="C245" s="54" t="s">
        <v>736</v>
      </c>
      <c r="D245" s="54"/>
      <c r="E245" s="52" t="s">
        <v>252</v>
      </c>
      <c r="F245" s="53">
        <v>22</v>
      </c>
      <c r="G245" s="53">
        <v>3730</v>
      </c>
      <c r="H245" s="53">
        <f t="shared" si="44"/>
        <v>82060</v>
      </c>
      <c r="I245" s="53">
        <v>450</v>
      </c>
      <c r="J245" s="53">
        <f t="shared" si="45"/>
        <v>9900</v>
      </c>
      <c r="K245" s="53">
        <f t="shared" si="46"/>
        <v>91960</v>
      </c>
      <c r="N245" s="108">
        <f t="shared" si="40"/>
        <v>91960</v>
      </c>
    </row>
    <row r="246" spans="2:14" ht="21.75" customHeight="1">
      <c r="B246" s="51">
        <v>7</v>
      </c>
      <c r="C246" s="54" t="s">
        <v>737</v>
      </c>
      <c r="D246" s="54"/>
      <c r="E246" s="52" t="s">
        <v>252</v>
      </c>
      <c r="F246" s="53">
        <v>2</v>
      </c>
      <c r="G246" s="53">
        <v>9040</v>
      </c>
      <c r="H246" s="53">
        <f t="shared" si="44"/>
        <v>18080</v>
      </c>
      <c r="I246" s="53">
        <v>450</v>
      </c>
      <c r="J246" s="53">
        <f t="shared" si="45"/>
        <v>900</v>
      </c>
      <c r="K246" s="53">
        <f t="shared" si="46"/>
        <v>18980</v>
      </c>
      <c r="N246" s="108">
        <f t="shared" si="40"/>
        <v>18980</v>
      </c>
    </row>
    <row r="247" spans="2:14" ht="21.75" customHeight="1">
      <c r="B247" s="51">
        <v>8</v>
      </c>
      <c r="C247" s="54" t="s">
        <v>738</v>
      </c>
      <c r="D247" s="54"/>
      <c r="E247" s="52" t="s">
        <v>252</v>
      </c>
      <c r="F247" s="53">
        <v>4</v>
      </c>
      <c r="G247" s="53">
        <v>1060</v>
      </c>
      <c r="H247" s="53">
        <f t="shared" si="44"/>
        <v>4240</v>
      </c>
      <c r="I247" s="53">
        <v>170</v>
      </c>
      <c r="J247" s="53">
        <f t="shared" si="45"/>
        <v>680</v>
      </c>
      <c r="K247" s="53">
        <f t="shared" si="46"/>
        <v>4920</v>
      </c>
      <c r="N247" s="108">
        <f t="shared" si="40"/>
        <v>4920</v>
      </c>
    </row>
    <row r="248" spans="2:14" ht="21.75" customHeight="1">
      <c r="B248" s="51">
        <v>9</v>
      </c>
      <c r="C248" s="54" t="s">
        <v>739</v>
      </c>
      <c r="D248" s="54"/>
      <c r="E248" s="52" t="s">
        <v>252</v>
      </c>
      <c r="F248" s="53">
        <v>17</v>
      </c>
      <c r="G248" s="53">
        <v>240</v>
      </c>
      <c r="H248" s="53">
        <f t="shared" si="44"/>
        <v>4080</v>
      </c>
      <c r="I248" s="53">
        <v>120</v>
      </c>
      <c r="J248" s="53">
        <f t="shared" si="45"/>
        <v>2040</v>
      </c>
      <c r="K248" s="53">
        <f t="shared" si="46"/>
        <v>6120</v>
      </c>
      <c r="N248" s="108">
        <f t="shared" si="40"/>
        <v>6120</v>
      </c>
    </row>
    <row r="249" spans="2:14" ht="21.75" customHeight="1">
      <c r="B249" s="51">
        <v>10</v>
      </c>
      <c r="C249" s="54" t="s">
        <v>740</v>
      </c>
      <c r="D249" s="54"/>
      <c r="E249" s="52" t="s">
        <v>252</v>
      </c>
      <c r="F249" s="53">
        <v>53</v>
      </c>
      <c r="G249" s="53">
        <v>240</v>
      </c>
      <c r="H249" s="53">
        <f t="shared" si="44"/>
        <v>12720</v>
      </c>
      <c r="I249" s="53">
        <v>120</v>
      </c>
      <c r="J249" s="53">
        <f t="shared" si="45"/>
        <v>6360</v>
      </c>
      <c r="K249" s="53">
        <f t="shared" si="46"/>
        <v>19080</v>
      </c>
      <c r="N249" s="108">
        <f t="shared" si="40"/>
        <v>19080</v>
      </c>
    </row>
    <row r="250" spans="2:14" ht="21.75" customHeight="1">
      <c r="B250" s="51">
        <v>11</v>
      </c>
      <c r="C250" s="54" t="s">
        <v>741</v>
      </c>
      <c r="D250" s="54"/>
      <c r="E250" s="52" t="s">
        <v>252</v>
      </c>
      <c r="F250" s="53">
        <v>17</v>
      </c>
      <c r="G250" s="53">
        <v>580</v>
      </c>
      <c r="H250" s="53">
        <f t="shared" si="44"/>
        <v>9860</v>
      </c>
      <c r="I250" s="53">
        <v>70</v>
      </c>
      <c r="J250" s="53">
        <f t="shared" si="45"/>
        <v>1190</v>
      </c>
      <c r="K250" s="53">
        <f t="shared" si="46"/>
        <v>11050</v>
      </c>
      <c r="N250" s="108">
        <f t="shared" si="40"/>
        <v>11050</v>
      </c>
    </row>
    <row r="251" spans="2:14" ht="21.75" customHeight="1">
      <c r="B251" s="51">
        <v>12</v>
      </c>
      <c r="C251" s="54" t="s">
        <v>742</v>
      </c>
      <c r="D251" s="54"/>
      <c r="E251" s="52" t="s">
        <v>252</v>
      </c>
      <c r="F251" s="53">
        <v>36</v>
      </c>
      <c r="G251" s="53">
        <v>120</v>
      </c>
      <c r="H251" s="53">
        <f>F251*G251</f>
        <v>4320</v>
      </c>
      <c r="I251" s="53">
        <v>35</v>
      </c>
      <c r="J251" s="53">
        <f>F251*I251</f>
        <v>1260</v>
      </c>
      <c r="K251" s="53">
        <f>(G251+I251)*F251</f>
        <v>5580</v>
      </c>
      <c r="N251" s="108">
        <f t="shared" si="40"/>
        <v>5580</v>
      </c>
    </row>
    <row r="252" spans="2:14" ht="21.75" customHeight="1">
      <c r="B252" s="51">
        <v>13</v>
      </c>
      <c r="C252" s="54" t="s">
        <v>341</v>
      </c>
      <c r="D252" s="54"/>
      <c r="E252" s="52" t="s">
        <v>251</v>
      </c>
      <c r="F252" s="53">
        <v>29</v>
      </c>
      <c r="G252" s="53">
        <v>3000</v>
      </c>
      <c r="H252" s="53">
        <f t="shared" si="44"/>
        <v>87000</v>
      </c>
      <c r="I252" s="53">
        <v>0</v>
      </c>
      <c r="J252" s="53">
        <f t="shared" si="45"/>
        <v>0</v>
      </c>
      <c r="K252" s="53">
        <f t="shared" si="46"/>
        <v>87000</v>
      </c>
      <c r="N252" s="108">
        <f t="shared" si="40"/>
        <v>87000</v>
      </c>
    </row>
    <row r="253" spans="2:14" ht="21.75" customHeight="1">
      <c r="B253" s="51">
        <v>14</v>
      </c>
      <c r="C253" s="54" t="s">
        <v>342</v>
      </c>
      <c r="D253" s="54"/>
      <c r="E253" s="52" t="s">
        <v>251</v>
      </c>
      <c r="F253" s="53">
        <v>29</v>
      </c>
      <c r="G253" s="53">
        <v>1200</v>
      </c>
      <c r="H253" s="53">
        <f t="shared" si="44"/>
        <v>34800</v>
      </c>
      <c r="I253" s="53">
        <v>120</v>
      </c>
      <c r="J253" s="53">
        <f t="shared" si="45"/>
        <v>3480</v>
      </c>
      <c r="K253" s="53">
        <f t="shared" si="46"/>
        <v>38280</v>
      </c>
      <c r="N253" s="108">
        <f t="shared" si="40"/>
        <v>38280</v>
      </c>
    </row>
    <row r="254" spans="2:14" ht="21.75" customHeight="1">
      <c r="B254" s="51">
        <v>15</v>
      </c>
      <c r="C254" s="54" t="s">
        <v>343</v>
      </c>
      <c r="D254" s="54"/>
      <c r="E254" s="52" t="s">
        <v>252</v>
      </c>
      <c r="F254" s="53">
        <v>32</v>
      </c>
      <c r="G254" s="53">
        <v>7650</v>
      </c>
      <c r="H254" s="53">
        <f t="shared" si="44"/>
        <v>244800</v>
      </c>
      <c r="I254" s="53">
        <v>800</v>
      </c>
      <c r="J254" s="53">
        <f t="shared" si="45"/>
        <v>25600</v>
      </c>
      <c r="K254" s="53">
        <f t="shared" si="46"/>
        <v>270400</v>
      </c>
      <c r="N254" s="108">
        <f t="shared" si="40"/>
        <v>270400</v>
      </c>
    </row>
    <row r="255" spans="2:14" ht="21.75" customHeight="1">
      <c r="B255" s="51">
        <v>16</v>
      </c>
      <c r="C255" s="54" t="s">
        <v>344</v>
      </c>
      <c r="D255" s="54"/>
      <c r="E255" s="52" t="s">
        <v>252</v>
      </c>
      <c r="F255" s="53">
        <v>2</v>
      </c>
      <c r="G255" s="53">
        <v>14090</v>
      </c>
      <c r="H255" s="53">
        <f t="shared" si="44"/>
        <v>28180</v>
      </c>
      <c r="I255" s="53">
        <v>1000</v>
      </c>
      <c r="J255" s="53">
        <f t="shared" si="45"/>
        <v>2000</v>
      </c>
      <c r="K255" s="53">
        <f t="shared" si="46"/>
        <v>30180</v>
      </c>
      <c r="N255" s="108">
        <f t="shared" si="40"/>
        <v>30180</v>
      </c>
    </row>
    <row r="256" spans="2:14" ht="21.75" customHeight="1">
      <c r="B256" s="51">
        <v>17</v>
      </c>
      <c r="C256" s="54" t="s">
        <v>157</v>
      </c>
      <c r="D256" s="54"/>
      <c r="E256" s="52" t="s">
        <v>252</v>
      </c>
      <c r="F256" s="53">
        <v>1</v>
      </c>
      <c r="G256" s="53">
        <v>3530</v>
      </c>
      <c r="H256" s="53">
        <f t="shared" si="44"/>
        <v>3530</v>
      </c>
      <c r="I256" s="53">
        <v>105</v>
      </c>
      <c r="J256" s="53">
        <f t="shared" si="45"/>
        <v>105</v>
      </c>
      <c r="K256" s="53">
        <f t="shared" si="46"/>
        <v>3635</v>
      </c>
      <c r="N256" s="108">
        <f t="shared" si="40"/>
        <v>3635</v>
      </c>
    </row>
    <row r="257" spans="2:14" ht="21.75" customHeight="1">
      <c r="B257" s="51">
        <v>18</v>
      </c>
      <c r="C257" s="54" t="s">
        <v>158</v>
      </c>
      <c r="D257" s="54"/>
      <c r="E257" s="52" t="s">
        <v>252</v>
      </c>
      <c r="F257" s="53">
        <v>1</v>
      </c>
      <c r="G257" s="53">
        <v>9360</v>
      </c>
      <c r="H257" s="53">
        <f t="shared" si="44"/>
        <v>9360</v>
      </c>
      <c r="I257" s="53">
        <v>210</v>
      </c>
      <c r="J257" s="53">
        <f t="shared" si="45"/>
        <v>210</v>
      </c>
      <c r="K257" s="53">
        <f t="shared" si="46"/>
        <v>9570</v>
      </c>
      <c r="N257" s="108">
        <f t="shared" si="40"/>
        <v>9570</v>
      </c>
    </row>
    <row r="258" spans="2:14" ht="21.75" customHeight="1">
      <c r="B258" s="51">
        <v>19</v>
      </c>
      <c r="C258" s="54" t="s">
        <v>159</v>
      </c>
      <c r="D258" s="54"/>
      <c r="E258" s="52" t="s">
        <v>252</v>
      </c>
      <c r="F258" s="53">
        <v>1</v>
      </c>
      <c r="G258" s="53">
        <v>8380</v>
      </c>
      <c r="H258" s="53">
        <f t="shared" si="44"/>
        <v>8380</v>
      </c>
      <c r="I258" s="53">
        <v>140</v>
      </c>
      <c r="J258" s="53">
        <f t="shared" si="45"/>
        <v>140</v>
      </c>
      <c r="K258" s="53">
        <f t="shared" si="46"/>
        <v>8520</v>
      </c>
      <c r="N258" s="108">
        <f t="shared" si="40"/>
        <v>8520</v>
      </c>
    </row>
    <row r="259" spans="2:14" ht="21.75" customHeight="1">
      <c r="B259" s="51">
        <v>20</v>
      </c>
      <c r="C259" s="54" t="s">
        <v>345</v>
      </c>
      <c r="D259" s="54"/>
      <c r="E259" s="52" t="s">
        <v>252</v>
      </c>
      <c r="F259" s="53">
        <v>8</v>
      </c>
      <c r="G259" s="53">
        <v>750</v>
      </c>
      <c r="H259" s="53">
        <f t="shared" si="44"/>
        <v>6000</v>
      </c>
      <c r="I259" s="53">
        <v>70</v>
      </c>
      <c r="J259" s="53">
        <f t="shared" si="45"/>
        <v>560</v>
      </c>
      <c r="K259" s="53">
        <f t="shared" si="46"/>
        <v>6560</v>
      </c>
      <c r="N259" s="108">
        <f t="shared" si="40"/>
        <v>6560</v>
      </c>
    </row>
    <row r="260" spans="2:14" ht="21.75" customHeight="1">
      <c r="B260" s="51">
        <v>21</v>
      </c>
      <c r="C260" s="54" t="s">
        <v>743</v>
      </c>
      <c r="D260" s="54"/>
      <c r="E260" s="52" t="s">
        <v>252</v>
      </c>
      <c r="F260" s="53">
        <v>17</v>
      </c>
      <c r="G260" s="53">
        <v>1310</v>
      </c>
      <c r="H260" s="53">
        <f t="shared" si="44"/>
        <v>22270</v>
      </c>
      <c r="I260" s="53">
        <v>70</v>
      </c>
      <c r="J260" s="53">
        <f t="shared" si="45"/>
        <v>1190</v>
      </c>
      <c r="K260" s="53">
        <f t="shared" si="46"/>
        <v>23460</v>
      </c>
      <c r="N260" s="108">
        <f t="shared" si="40"/>
        <v>23460</v>
      </c>
    </row>
    <row r="261" spans="2:14" ht="21.75" customHeight="1">
      <c r="B261" s="51">
        <v>22</v>
      </c>
      <c r="C261" s="54" t="s">
        <v>744</v>
      </c>
      <c r="D261" s="54"/>
      <c r="E261" s="52" t="s">
        <v>252</v>
      </c>
      <c r="F261" s="53">
        <v>2</v>
      </c>
      <c r="G261" s="53">
        <v>18870</v>
      </c>
      <c r="H261" s="53">
        <f>F261*G261</f>
        <v>37740</v>
      </c>
      <c r="I261" s="53">
        <v>450</v>
      </c>
      <c r="J261" s="53">
        <f>F261*I261</f>
        <v>900</v>
      </c>
      <c r="K261" s="53">
        <f>(G261+I261)*F261</f>
        <v>38640</v>
      </c>
      <c r="N261" s="108">
        <f t="shared" si="40"/>
        <v>38640</v>
      </c>
    </row>
    <row r="262" spans="2:14" ht="21.75" customHeight="1">
      <c r="B262" s="51">
        <v>23</v>
      </c>
      <c r="C262" s="54" t="s">
        <v>745</v>
      </c>
      <c r="D262" s="54"/>
      <c r="E262" s="52" t="s">
        <v>252</v>
      </c>
      <c r="F262" s="53">
        <v>27</v>
      </c>
      <c r="G262" s="53">
        <v>580</v>
      </c>
      <c r="H262" s="53">
        <f>F262*G262</f>
        <v>15660</v>
      </c>
      <c r="I262" s="53">
        <v>120</v>
      </c>
      <c r="J262" s="53">
        <f>F262*I262</f>
        <v>3240</v>
      </c>
      <c r="K262" s="53">
        <f>(G262+I262)*F262</f>
        <v>18900</v>
      </c>
      <c r="N262" s="108">
        <f t="shared" si="40"/>
        <v>18900</v>
      </c>
    </row>
    <row r="263" spans="2:14" ht="21.75" customHeight="1">
      <c r="B263" s="51">
        <v>24</v>
      </c>
      <c r="C263" s="54" t="s">
        <v>746</v>
      </c>
      <c r="D263" s="54"/>
      <c r="E263" s="52" t="s">
        <v>252</v>
      </c>
      <c r="F263" s="53">
        <v>27</v>
      </c>
      <c r="G263" s="53">
        <v>220</v>
      </c>
      <c r="H263" s="53">
        <f>F263*G263</f>
        <v>5940</v>
      </c>
      <c r="I263" s="53">
        <v>70</v>
      </c>
      <c r="J263" s="53">
        <f>F263*I263</f>
        <v>1890</v>
      </c>
      <c r="K263" s="53">
        <f>(G263+I263)*F263</f>
        <v>7830</v>
      </c>
      <c r="N263" s="108">
        <f t="shared" si="40"/>
        <v>7830</v>
      </c>
    </row>
    <row r="264" spans="2:14" ht="21.75" customHeight="1">
      <c r="B264" s="51"/>
      <c r="C264" s="54"/>
      <c r="D264" s="54"/>
      <c r="E264" s="51"/>
      <c r="F264" s="53"/>
      <c r="G264" s="53"/>
      <c r="H264" s="53"/>
      <c r="I264" s="53"/>
      <c r="J264" s="53"/>
      <c r="K264" s="53"/>
      <c r="N264" s="108">
        <f t="shared" si="40"/>
        <v>0</v>
      </c>
    </row>
    <row r="265" spans="2:14" ht="21.75" customHeight="1">
      <c r="B265" s="51"/>
      <c r="C265" s="702" t="s">
        <v>234</v>
      </c>
      <c r="D265" s="703"/>
      <c r="E265" s="75"/>
      <c r="F265" s="71"/>
      <c r="G265" s="71"/>
      <c r="H265" s="71">
        <f>SUM(H239:H263)</f>
        <v>999590</v>
      </c>
      <c r="I265" s="71"/>
      <c r="J265" s="71">
        <f>SUM(J239:J263)</f>
        <v>111200</v>
      </c>
      <c r="K265" s="71">
        <f>SUM(K239:K263)</f>
        <v>1110790</v>
      </c>
      <c r="M265" s="65">
        <f>SUM(H265,J265)</f>
        <v>1110790</v>
      </c>
      <c r="N265" s="108">
        <f t="shared" si="40"/>
        <v>0</v>
      </c>
    </row>
    <row r="266" spans="2:14" ht="21.75" customHeight="1">
      <c r="B266" s="51"/>
      <c r="C266" s="124"/>
      <c r="D266" s="125"/>
      <c r="E266" s="75"/>
      <c r="F266" s="71"/>
      <c r="G266" s="71"/>
      <c r="H266" s="71"/>
      <c r="I266" s="71"/>
      <c r="J266" s="71"/>
      <c r="K266" s="71"/>
      <c r="M266" s="65"/>
      <c r="N266" s="108"/>
    </row>
    <row r="267" spans="2:14" ht="21.75" customHeight="1">
      <c r="B267" s="51"/>
      <c r="C267" s="124"/>
      <c r="D267" s="125"/>
      <c r="E267" s="75"/>
      <c r="F267" s="71"/>
      <c r="G267" s="71"/>
      <c r="H267" s="71"/>
      <c r="I267" s="71"/>
      <c r="J267" s="71"/>
      <c r="K267" s="71"/>
      <c r="M267" s="65"/>
      <c r="N267" s="108">
        <f t="shared" si="40"/>
        <v>0</v>
      </c>
    </row>
    <row r="268" spans="2:14" ht="21.75" customHeight="1">
      <c r="B268" s="51"/>
      <c r="C268" s="702" t="s">
        <v>686</v>
      </c>
      <c r="D268" s="703"/>
      <c r="E268" s="52"/>
      <c r="F268" s="53"/>
      <c r="G268" s="53"/>
      <c r="H268" s="53"/>
      <c r="I268" s="53"/>
      <c r="J268" s="53"/>
      <c r="K268" s="53"/>
      <c r="N268" s="108">
        <f t="shared" si="40"/>
        <v>0</v>
      </c>
    </row>
    <row r="269" spans="2:14" ht="21.75" customHeight="1">
      <c r="B269" s="51">
        <v>1</v>
      </c>
      <c r="C269" s="54" t="s">
        <v>748</v>
      </c>
      <c r="D269" s="54"/>
      <c r="E269" s="52" t="s">
        <v>230</v>
      </c>
      <c r="F269" s="53">
        <v>4369</v>
      </c>
      <c r="G269" s="53">
        <v>42</v>
      </c>
      <c r="H269" s="53">
        <f>F269*G269</f>
        <v>183498</v>
      </c>
      <c r="I269" s="53">
        <v>28</v>
      </c>
      <c r="J269" s="53">
        <f>F269*I269</f>
        <v>122332</v>
      </c>
      <c r="K269" s="53">
        <f>(G269+I269)*F269</f>
        <v>305830</v>
      </c>
      <c r="N269" s="108">
        <f t="shared" si="40"/>
        <v>305830</v>
      </c>
    </row>
    <row r="270" spans="2:14" ht="21.75" customHeight="1">
      <c r="B270" s="51">
        <v>2</v>
      </c>
      <c r="C270" s="54" t="s">
        <v>876</v>
      </c>
      <c r="D270" s="54"/>
      <c r="E270" s="52" t="s">
        <v>230</v>
      </c>
      <c r="F270" s="53">
        <v>2116</v>
      </c>
      <c r="G270" s="53">
        <v>42</v>
      </c>
      <c r="H270" s="53">
        <f>F270*G270</f>
        <v>88872</v>
      </c>
      <c r="I270" s="53">
        <v>31</v>
      </c>
      <c r="J270" s="53">
        <f>F270*I270</f>
        <v>65596</v>
      </c>
      <c r="K270" s="53">
        <f>(G270+I270)*F270</f>
        <v>154468</v>
      </c>
      <c r="N270" s="108">
        <f t="shared" si="40"/>
        <v>154468</v>
      </c>
    </row>
    <row r="271" spans="2:14" ht="21.75" customHeight="1">
      <c r="B271" s="51">
        <v>3</v>
      </c>
      <c r="C271" s="54" t="s">
        <v>81</v>
      </c>
      <c r="D271" s="54"/>
      <c r="E271" s="52" t="s">
        <v>230</v>
      </c>
      <c r="F271" s="53">
        <v>1030</v>
      </c>
      <c r="G271" s="53">
        <v>46</v>
      </c>
      <c r="H271" s="53">
        <f>F271*G271</f>
        <v>47380</v>
      </c>
      <c r="I271" s="53">
        <v>35</v>
      </c>
      <c r="J271" s="53">
        <f>F271*I271</f>
        <v>36050</v>
      </c>
      <c r="K271" s="53">
        <f>(G271+I271)*F271</f>
        <v>83430</v>
      </c>
      <c r="N271" s="108">
        <f t="shared" si="40"/>
        <v>83430</v>
      </c>
    </row>
    <row r="272" spans="2:14" ht="21.75" customHeight="1">
      <c r="B272" s="51">
        <v>4</v>
      </c>
      <c r="C272" s="54" t="s">
        <v>146</v>
      </c>
      <c r="D272" s="54"/>
      <c r="E272" s="52" t="s">
        <v>230</v>
      </c>
      <c r="F272" s="53">
        <v>16</v>
      </c>
      <c r="G272" s="53">
        <v>47</v>
      </c>
      <c r="H272" s="53">
        <f>F272*G272</f>
        <v>752</v>
      </c>
      <c r="I272" s="53">
        <v>35</v>
      </c>
      <c r="J272" s="53">
        <f>F272*I272</f>
        <v>560</v>
      </c>
      <c r="K272" s="53">
        <f>(G272+I272)*F272</f>
        <v>1312</v>
      </c>
      <c r="N272" s="108">
        <f t="shared" si="40"/>
        <v>1312</v>
      </c>
    </row>
    <row r="273" spans="2:14" ht="21.75" customHeight="1">
      <c r="B273" s="51"/>
      <c r="C273" s="54"/>
      <c r="D273" s="54"/>
      <c r="E273" s="52"/>
      <c r="F273" s="53"/>
      <c r="G273" s="53"/>
      <c r="H273" s="53"/>
      <c r="I273" s="53"/>
      <c r="J273" s="53"/>
      <c r="K273" s="53"/>
      <c r="N273" s="108">
        <f aca="true" t="shared" si="47" ref="N273:N337">(G273+I273)*F273</f>
        <v>0</v>
      </c>
    </row>
    <row r="274" spans="2:14" ht="21.75" customHeight="1">
      <c r="B274" s="51"/>
      <c r="C274" s="702" t="s">
        <v>234</v>
      </c>
      <c r="D274" s="703"/>
      <c r="E274" s="70"/>
      <c r="F274" s="71"/>
      <c r="G274" s="71"/>
      <c r="H274" s="71">
        <f>SUM(H268:H272)</f>
        <v>320502</v>
      </c>
      <c r="I274" s="71"/>
      <c r="J274" s="71">
        <f>SUM(J268:J272)</f>
        <v>224538</v>
      </c>
      <c r="K274" s="71">
        <f>SUM(K268:K272)</f>
        <v>545040</v>
      </c>
      <c r="M274" s="65">
        <f>SUM(H274,J274)</f>
        <v>545040</v>
      </c>
      <c r="N274" s="108">
        <f t="shared" si="47"/>
        <v>0</v>
      </c>
    </row>
    <row r="275" spans="2:14" ht="21.75" customHeight="1">
      <c r="B275" s="51"/>
      <c r="C275" s="124"/>
      <c r="D275" s="125"/>
      <c r="E275" s="75"/>
      <c r="F275" s="71"/>
      <c r="G275" s="71"/>
      <c r="H275" s="71"/>
      <c r="I275" s="71"/>
      <c r="J275" s="71"/>
      <c r="K275" s="71"/>
      <c r="M275" s="65"/>
      <c r="N275" s="108">
        <f t="shared" si="47"/>
        <v>0</v>
      </c>
    </row>
    <row r="276" spans="2:14" ht="21.75" customHeight="1">
      <c r="B276" s="51"/>
      <c r="C276" s="124"/>
      <c r="D276" s="125"/>
      <c r="E276" s="75"/>
      <c r="F276" s="71"/>
      <c r="G276" s="71"/>
      <c r="H276" s="71"/>
      <c r="I276" s="71"/>
      <c r="J276" s="71"/>
      <c r="K276" s="71"/>
      <c r="M276" s="65"/>
      <c r="N276" s="108">
        <f t="shared" si="47"/>
        <v>0</v>
      </c>
    </row>
    <row r="277" spans="2:14" ht="21.75" customHeight="1">
      <c r="B277" s="51"/>
      <c r="C277" s="702" t="s">
        <v>685</v>
      </c>
      <c r="D277" s="703"/>
      <c r="E277" s="52"/>
      <c r="F277" s="53"/>
      <c r="G277" s="53"/>
      <c r="H277" s="53"/>
      <c r="I277" s="53"/>
      <c r="J277" s="53"/>
      <c r="K277" s="53"/>
      <c r="N277" s="108">
        <f t="shared" si="47"/>
        <v>0</v>
      </c>
    </row>
    <row r="278" spans="2:14" ht="21.75" customHeight="1">
      <c r="B278" s="51">
        <v>1</v>
      </c>
      <c r="C278" s="54" t="s">
        <v>14</v>
      </c>
      <c r="D278" s="54"/>
      <c r="E278" s="52" t="s">
        <v>252</v>
      </c>
      <c r="F278" s="53">
        <v>1</v>
      </c>
      <c r="G278" s="53">
        <v>18000</v>
      </c>
      <c r="H278" s="53">
        <f aca="true" t="shared" si="48" ref="H278:H288">F278*G278</f>
        <v>18000</v>
      </c>
      <c r="I278" s="53">
        <v>0</v>
      </c>
      <c r="J278" s="53">
        <f aca="true" t="shared" si="49" ref="J278:J288">F278*I278</f>
        <v>0</v>
      </c>
      <c r="K278" s="53">
        <f aca="true" t="shared" si="50" ref="K278:K288">(G278+I278)*F278</f>
        <v>18000</v>
      </c>
      <c r="N278" s="108">
        <f t="shared" si="47"/>
        <v>18000</v>
      </c>
    </row>
    <row r="279" spans="2:14" ht="21.75" customHeight="1">
      <c r="B279" s="51">
        <v>2</v>
      </c>
      <c r="C279" s="54" t="s">
        <v>15</v>
      </c>
      <c r="D279" s="54"/>
      <c r="E279" s="52" t="s">
        <v>236</v>
      </c>
      <c r="F279" s="53">
        <v>20</v>
      </c>
      <c r="G279" s="53">
        <v>750</v>
      </c>
      <c r="H279" s="53">
        <f t="shared" si="48"/>
        <v>15000</v>
      </c>
      <c r="I279" s="53">
        <v>70</v>
      </c>
      <c r="J279" s="53">
        <f t="shared" si="49"/>
        <v>1400</v>
      </c>
      <c r="K279" s="53">
        <f t="shared" si="50"/>
        <v>16400</v>
      </c>
      <c r="N279" s="108">
        <f t="shared" si="47"/>
        <v>16400</v>
      </c>
    </row>
    <row r="280" spans="2:14" ht="21.75" customHeight="1">
      <c r="B280" s="51">
        <v>3</v>
      </c>
      <c r="C280" s="54" t="s">
        <v>16</v>
      </c>
      <c r="D280" s="54"/>
      <c r="E280" s="52" t="s">
        <v>252</v>
      </c>
      <c r="F280" s="53"/>
      <c r="G280" s="53"/>
      <c r="H280" s="53"/>
      <c r="I280" s="53"/>
      <c r="J280" s="53"/>
      <c r="K280" s="53"/>
      <c r="N280" s="108">
        <f t="shared" si="47"/>
        <v>0</v>
      </c>
    </row>
    <row r="281" spans="2:14" ht="21.75" customHeight="1">
      <c r="B281" s="51"/>
      <c r="C281" s="54"/>
      <c r="D281" s="54" t="s">
        <v>17</v>
      </c>
      <c r="E281" s="52" t="s">
        <v>252</v>
      </c>
      <c r="F281" s="53">
        <v>2</v>
      </c>
      <c r="G281" s="53">
        <v>7100</v>
      </c>
      <c r="H281" s="53">
        <f t="shared" si="48"/>
        <v>14200</v>
      </c>
      <c r="I281" s="53">
        <v>550</v>
      </c>
      <c r="J281" s="53">
        <f t="shared" si="49"/>
        <v>1100</v>
      </c>
      <c r="K281" s="53">
        <f t="shared" si="50"/>
        <v>15300</v>
      </c>
      <c r="N281" s="108">
        <f t="shared" si="47"/>
        <v>15300</v>
      </c>
    </row>
    <row r="282" spans="2:14" ht="21.75" customHeight="1">
      <c r="B282" s="51"/>
      <c r="C282" s="54"/>
      <c r="D282" s="54" t="s">
        <v>18</v>
      </c>
      <c r="E282" s="52" t="s">
        <v>252</v>
      </c>
      <c r="F282" s="53">
        <v>1</v>
      </c>
      <c r="G282" s="53">
        <v>4700</v>
      </c>
      <c r="H282" s="53">
        <f t="shared" si="48"/>
        <v>4700</v>
      </c>
      <c r="I282" s="53">
        <v>350</v>
      </c>
      <c r="J282" s="53">
        <f t="shared" si="49"/>
        <v>350</v>
      </c>
      <c r="K282" s="53">
        <f t="shared" si="50"/>
        <v>5050</v>
      </c>
      <c r="N282" s="108">
        <f t="shared" si="47"/>
        <v>5050</v>
      </c>
    </row>
    <row r="283" spans="2:14" ht="21.75" customHeight="1">
      <c r="B283" s="51">
        <v>4</v>
      </c>
      <c r="C283" s="54" t="s">
        <v>19</v>
      </c>
      <c r="D283" s="54"/>
      <c r="E283" s="52" t="s">
        <v>251</v>
      </c>
      <c r="F283" s="53">
        <v>20</v>
      </c>
      <c r="G283" s="53">
        <v>750</v>
      </c>
      <c r="H283" s="53">
        <f t="shared" si="48"/>
        <v>15000</v>
      </c>
      <c r="I283" s="53">
        <v>0</v>
      </c>
      <c r="J283" s="53">
        <f t="shared" si="49"/>
        <v>0</v>
      </c>
      <c r="K283" s="53">
        <f t="shared" si="50"/>
        <v>15000</v>
      </c>
      <c r="N283" s="108">
        <f t="shared" si="47"/>
        <v>15000</v>
      </c>
    </row>
    <row r="284" spans="2:14" ht="21.75" customHeight="1">
      <c r="B284" s="51">
        <v>5</v>
      </c>
      <c r="C284" s="54" t="s">
        <v>747</v>
      </c>
      <c r="D284" s="54"/>
      <c r="E284" s="52" t="s">
        <v>236</v>
      </c>
      <c r="F284" s="53">
        <v>106</v>
      </c>
      <c r="G284" s="53">
        <v>950</v>
      </c>
      <c r="H284" s="53">
        <f t="shared" si="48"/>
        <v>100700</v>
      </c>
      <c r="I284" s="53">
        <v>0</v>
      </c>
      <c r="J284" s="53">
        <f t="shared" si="49"/>
        <v>0</v>
      </c>
      <c r="K284" s="53">
        <f t="shared" si="50"/>
        <v>100700</v>
      </c>
      <c r="N284" s="108">
        <f t="shared" si="47"/>
        <v>100700</v>
      </c>
    </row>
    <row r="285" spans="2:14" ht="21.75" customHeight="1">
      <c r="B285" s="51">
        <v>6</v>
      </c>
      <c r="C285" s="54" t="s">
        <v>20</v>
      </c>
      <c r="D285" s="54"/>
      <c r="E285" s="52" t="s">
        <v>252</v>
      </c>
      <c r="F285" s="53">
        <v>1</v>
      </c>
      <c r="G285" s="53">
        <v>3000</v>
      </c>
      <c r="H285" s="53">
        <f t="shared" si="48"/>
        <v>3000</v>
      </c>
      <c r="I285" s="53">
        <v>0</v>
      </c>
      <c r="J285" s="53">
        <f t="shared" si="49"/>
        <v>0</v>
      </c>
      <c r="K285" s="53">
        <f t="shared" si="50"/>
        <v>3000</v>
      </c>
      <c r="N285" s="108">
        <f t="shared" si="47"/>
        <v>3000</v>
      </c>
    </row>
    <row r="286" spans="2:14" ht="21.75" customHeight="1">
      <c r="B286" s="51">
        <v>7</v>
      </c>
      <c r="C286" s="54" t="s">
        <v>21</v>
      </c>
      <c r="D286" s="54"/>
      <c r="E286" s="52" t="s">
        <v>252</v>
      </c>
      <c r="F286" s="53">
        <v>1</v>
      </c>
      <c r="G286" s="53">
        <v>5000</v>
      </c>
      <c r="H286" s="53">
        <f t="shared" si="48"/>
        <v>5000</v>
      </c>
      <c r="I286" s="53">
        <v>0</v>
      </c>
      <c r="J286" s="53">
        <f t="shared" si="49"/>
        <v>0</v>
      </c>
      <c r="K286" s="53">
        <f t="shared" si="50"/>
        <v>5000</v>
      </c>
      <c r="N286" s="108">
        <f t="shared" si="47"/>
        <v>5000</v>
      </c>
    </row>
    <row r="287" spans="2:14" ht="21.75" customHeight="1">
      <c r="B287" s="51">
        <v>8</v>
      </c>
      <c r="C287" s="54" t="s">
        <v>22</v>
      </c>
      <c r="D287" s="54"/>
      <c r="E287" s="52" t="s">
        <v>252</v>
      </c>
      <c r="F287" s="53">
        <v>1</v>
      </c>
      <c r="G287" s="53">
        <v>4500</v>
      </c>
      <c r="H287" s="53">
        <f t="shared" si="48"/>
        <v>4500</v>
      </c>
      <c r="I287" s="53">
        <v>500</v>
      </c>
      <c r="J287" s="53">
        <f t="shared" si="49"/>
        <v>500</v>
      </c>
      <c r="K287" s="53">
        <f t="shared" si="50"/>
        <v>5000</v>
      </c>
      <c r="N287" s="108">
        <f t="shared" si="47"/>
        <v>5000</v>
      </c>
    </row>
    <row r="288" spans="2:14" ht="21.75" customHeight="1">
      <c r="B288" s="51">
        <v>9</v>
      </c>
      <c r="C288" s="54" t="s">
        <v>23</v>
      </c>
      <c r="D288" s="54"/>
      <c r="E288" s="52" t="s">
        <v>252</v>
      </c>
      <c r="F288" s="53">
        <v>1</v>
      </c>
      <c r="G288" s="53">
        <v>35100</v>
      </c>
      <c r="H288" s="53">
        <f t="shared" si="48"/>
        <v>35100</v>
      </c>
      <c r="I288" s="53">
        <v>450</v>
      </c>
      <c r="J288" s="53">
        <f t="shared" si="49"/>
        <v>450</v>
      </c>
      <c r="K288" s="53">
        <f t="shared" si="50"/>
        <v>35550</v>
      </c>
      <c r="N288" s="108">
        <f t="shared" si="47"/>
        <v>35550</v>
      </c>
    </row>
    <row r="289" spans="2:14" ht="21.75" customHeight="1">
      <c r="B289" s="51">
        <v>10</v>
      </c>
      <c r="C289" s="54" t="s">
        <v>143</v>
      </c>
      <c r="D289" s="54"/>
      <c r="E289" s="52" t="s">
        <v>252</v>
      </c>
      <c r="F289" s="53">
        <v>3</v>
      </c>
      <c r="G289" s="53">
        <v>2500</v>
      </c>
      <c r="H289" s="53">
        <f>F289*G289</f>
        <v>7500</v>
      </c>
      <c r="I289" s="53">
        <v>500</v>
      </c>
      <c r="J289" s="53">
        <f>F289*I289</f>
        <v>1500</v>
      </c>
      <c r="K289" s="53">
        <f>(G289+I289)*F289</f>
        <v>9000</v>
      </c>
      <c r="N289" s="108">
        <f t="shared" si="47"/>
        <v>9000</v>
      </c>
    </row>
    <row r="290" spans="2:14" ht="21.75" customHeight="1">
      <c r="B290" s="51">
        <v>11</v>
      </c>
      <c r="C290" s="54" t="s">
        <v>147</v>
      </c>
      <c r="D290" s="54"/>
      <c r="E290" s="52" t="s">
        <v>252</v>
      </c>
      <c r="F290" s="53">
        <v>7</v>
      </c>
      <c r="G290" s="53">
        <v>700</v>
      </c>
      <c r="H290" s="53">
        <f>F290*G290</f>
        <v>4900</v>
      </c>
      <c r="I290" s="53">
        <v>100</v>
      </c>
      <c r="J290" s="53">
        <f>F290*I290</f>
        <v>700</v>
      </c>
      <c r="K290" s="53">
        <f>(G290+I290)*F290</f>
        <v>5600</v>
      </c>
      <c r="N290" s="108">
        <f t="shared" si="47"/>
        <v>5600</v>
      </c>
    </row>
    <row r="291" spans="2:14" ht="21.75" customHeight="1">
      <c r="B291" s="51"/>
      <c r="C291" s="54"/>
      <c r="D291" s="54"/>
      <c r="E291" s="52"/>
      <c r="F291" s="53"/>
      <c r="G291" s="53"/>
      <c r="H291" s="53"/>
      <c r="I291" s="53"/>
      <c r="J291" s="53"/>
      <c r="K291" s="53"/>
      <c r="N291" s="108">
        <f t="shared" si="47"/>
        <v>0</v>
      </c>
    </row>
    <row r="292" spans="2:14" ht="21.75" customHeight="1">
      <c r="B292" s="51"/>
      <c r="C292" s="702" t="s">
        <v>234</v>
      </c>
      <c r="D292" s="703"/>
      <c r="E292" s="70"/>
      <c r="F292" s="71"/>
      <c r="G292" s="71"/>
      <c r="H292" s="71">
        <f>SUM(H277:H290)</f>
        <v>227600</v>
      </c>
      <c r="I292" s="71"/>
      <c r="J292" s="71">
        <f>SUM(J277:J290)</f>
        <v>6000</v>
      </c>
      <c r="K292" s="71">
        <f>SUM(K277:K290)</f>
        <v>233600</v>
      </c>
      <c r="M292" s="65">
        <f>SUM(H292,J292)</f>
        <v>233600</v>
      </c>
      <c r="N292" s="108">
        <f t="shared" si="47"/>
        <v>0</v>
      </c>
    </row>
    <row r="293" spans="2:14" ht="21.75" customHeight="1">
      <c r="B293" s="51"/>
      <c r="C293" s="54"/>
      <c r="D293" s="54"/>
      <c r="E293" s="52"/>
      <c r="F293" s="53"/>
      <c r="G293" s="53"/>
      <c r="H293" s="53"/>
      <c r="I293" s="53"/>
      <c r="J293" s="53"/>
      <c r="K293" s="53"/>
      <c r="N293" s="108">
        <f t="shared" si="47"/>
        <v>0</v>
      </c>
    </row>
    <row r="294" spans="2:14" ht="21.75" customHeight="1">
      <c r="B294" s="51"/>
      <c r="C294" s="54"/>
      <c r="D294" s="54"/>
      <c r="E294" s="52"/>
      <c r="F294" s="53"/>
      <c r="G294" s="53"/>
      <c r="H294" s="53"/>
      <c r="I294" s="53"/>
      <c r="J294" s="53"/>
      <c r="K294" s="53"/>
      <c r="N294" s="108">
        <f t="shared" si="47"/>
        <v>0</v>
      </c>
    </row>
    <row r="295" spans="2:14" ht="21.75" customHeight="1">
      <c r="B295" s="51"/>
      <c r="C295" s="702" t="s">
        <v>684</v>
      </c>
      <c r="D295" s="703"/>
      <c r="E295" s="52"/>
      <c r="F295" s="53"/>
      <c r="G295" s="53"/>
      <c r="H295" s="53"/>
      <c r="I295" s="53"/>
      <c r="J295" s="53"/>
      <c r="K295" s="53"/>
      <c r="N295" s="108">
        <f t="shared" si="47"/>
        <v>0</v>
      </c>
    </row>
    <row r="296" spans="2:14" ht="21.75" customHeight="1">
      <c r="B296" s="70">
        <v>1</v>
      </c>
      <c r="C296" s="716" t="s">
        <v>323</v>
      </c>
      <c r="D296" s="717"/>
      <c r="E296" s="93"/>
      <c r="F296" s="89"/>
      <c r="G296" s="86"/>
      <c r="H296" s="89"/>
      <c r="I296" s="86"/>
      <c r="J296" s="86"/>
      <c r="K296" s="94"/>
      <c r="N296" s="108">
        <f t="shared" si="47"/>
        <v>0</v>
      </c>
    </row>
    <row r="297" spans="2:14" ht="21.75" customHeight="1">
      <c r="B297" s="52">
        <v>1.1</v>
      </c>
      <c r="C297" s="100" t="s">
        <v>512</v>
      </c>
      <c r="D297" s="169"/>
      <c r="E297" s="93"/>
      <c r="F297" s="89"/>
      <c r="G297" s="86"/>
      <c r="H297" s="89"/>
      <c r="I297" s="86"/>
      <c r="J297" s="86"/>
      <c r="K297" s="94"/>
      <c r="N297" s="108">
        <f t="shared" si="47"/>
        <v>0</v>
      </c>
    </row>
    <row r="298" spans="2:14" ht="21.75" customHeight="1">
      <c r="B298" s="52"/>
      <c r="C298" s="100" t="s">
        <v>516</v>
      </c>
      <c r="D298" s="169"/>
      <c r="E298" s="93" t="s">
        <v>274</v>
      </c>
      <c r="F298" s="89">
        <v>85</v>
      </c>
      <c r="G298" s="86">
        <v>305</v>
      </c>
      <c r="H298" s="94">
        <f aca="true" t="shared" si="51" ref="H298:H309">F298*G298</f>
        <v>25925</v>
      </c>
      <c r="I298" s="95">
        <v>250</v>
      </c>
      <c r="J298" s="95">
        <f aca="true" t="shared" si="52" ref="J298:J309">F298*I298</f>
        <v>21250</v>
      </c>
      <c r="K298" s="86">
        <f aca="true" t="shared" si="53" ref="K298:K309">F298*(G298+I298)</f>
        <v>47175</v>
      </c>
      <c r="N298" s="108">
        <f t="shared" si="47"/>
        <v>47175</v>
      </c>
    </row>
    <row r="299" spans="2:14" ht="21.75" customHeight="1">
      <c r="B299" s="52"/>
      <c r="C299" s="100" t="s">
        <v>749</v>
      </c>
      <c r="D299" s="169"/>
      <c r="E299" s="93" t="s">
        <v>325</v>
      </c>
      <c r="F299" s="89">
        <v>1</v>
      </c>
      <c r="G299" s="86">
        <f>H298*0.8</f>
        <v>20740</v>
      </c>
      <c r="H299" s="94">
        <f t="shared" si="51"/>
        <v>20740</v>
      </c>
      <c r="I299" s="95">
        <f>G299*0.3</f>
        <v>6222</v>
      </c>
      <c r="J299" s="95">
        <f t="shared" si="52"/>
        <v>6222</v>
      </c>
      <c r="K299" s="86">
        <f t="shared" si="53"/>
        <v>26962</v>
      </c>
      <c r="N299" s="108">
        <f t="shared" si="47"/>
        <v>26962</v>
      </c>
    </row>
    <row r="300" spans="2:14" ht="21.75" customHeight="1">
      <c r="B300" s="96" t="s">
        <v>453</v>
      </c>
      <c r="C300" s="100" t="s">
        <v>751</v>
      </c>
      <c r="D300" s="101"/>
      <c r="E300" s="93"/>
      <c r="F300" s="89"/>
      <c r="G300" s="86"/>
      <c r="H300" s="94"/>
      <c r="I300" s="95"/>
      <c r="J300" s="95"/>
      <c r="K300" s="86"/>
      <c r="N300" s="108">
        <f t="shared" si="47"/>
        <v>0</v>
      </c>
    </row>
    <row r="301" spans="2:14" ht="21.75" customHeight="1">
      <c r="B301" s="96"/>
      <c r="C301" s="100" t="s">
        <v>750</v>
      </c>
      <c r="D301" s="101"/>
      <c r="E301" s="93" t="s">
        <v>274</v>
      </c>
      <c r="F301" s="89">
        <v>225</v>
      </c>
      <c r="G301" s="86">
        <v>504</v>
      </c>
      <c r="H301" s="94">
        <f>F301*G301</f>
        <v>113400</v>
      </c>
      <c r="I301" s="95">
        <v>120</v>
      </c>
      <c r="J301" s="95">
        <f>F301*I301</f>
        <v>27000</v>
      </c>
      <c r="K301" s="86">
        <f>F301*(G301+I301)</f>
        <v>140400</v>
      </c>
      <c r="N301" s="108">
        <f>(G301+I301)*F301</f>
        <v>140400</v>
      </c>
    </row>
    <row r="302" spans="2:14" ht="21.75" customHeight="1">
      <c r="B302" s="52"/>
      <c r="C302" s="100" t="s">
        <v>752</v>
      </c>
      <c r="D302" s="101"/>
      <c r="E302" s="93" t="s">
        <v>274</v>
      </c>
      <c r="F302" s="89">
        <v>75</v>
      </c>
      <c r="G302" s="86">
        <v>187</v>
      </c>
      <c r="H302" s="94">
        <f t="shared" si="51"/>
        <v>14025</v>
      </c>
      <c r="I302" s="95">
        <v>75</v>
      </c>
      <c r="J302" s="95">
        <f t="shared" si="52"/>
        <v>5625</v>
      </c>
      <c r="K302" s="86">
        <f t="shared" si="53"/>
        <v>19650</v>
      </c>
      <c r="N302" s="108">
        <f t="shared" si="47"/>
        <v>19650</v>
      </c>
    </row>
    <row r="303" spans="2:14" ht="21.75" customHeight="1">
      <c r="B303" s="52"/>
      <c r="C303" s="100" t="s">
        <v>753</v>
      </c>
      <c r="D303" s="101"/>
      <c r="E303" s="93" t="s">
        <v>274</v>
      </c>
      <c r="F303" s="89">
        <v>40</v>
      </c>
      <c r="G303" s="86">
        <v>130</v>
      </c>
      <c r="H303" s="94">
        <f t="shared" si="51"/>
        <v>5200</v>
      </c>
      <c r="I303" s="95">
        <v>50</v>
      </c>
      <c r="J303" s="95">
        <f t="shared" si="52"/>
        <v>2000</v>
      </c>
      <c r="K303" s="86">
        <f t="shared" si="53"/>
        <v>7200</v>
      </c>
      <c r="N303" s="108">
        <f t="shared" si="47"/>
        <v>7200</v>
      </c>
    </row>
    <row r="304" spans="2:14" ht="21.75" customHeight="1">
      <c r="B304" s="52"/>
      <c r="C304" s="100" t="s">
        <v>754</v>
      </c>
      <c r="D304" s="101"/>
      <c r="E304" s="93" t="s">
        <v>274</v>
      </c>
      <c r="F304" s="89">
        <v>235</v>
      </c>
      <c r="G304" s="86">
        <v>64</v>
      </c>
      <c r="H304" s="94">
        <f t="shared" si="51"/>
        <v>15040</v>
      </c>
      <c r="I304" s="95">
        <v>30</v>
      </c>
      <c r="J304" s="95">
        <f t="shared" si="52"/>
        <v>7050</v>
      </c>
      <c r="K304" s="86">
        <f t="shared" si="53"/>
        <v>22090</v>
      </c>
      <c r="N304" s="108">
        <f t="shared" si="47"/>
        <v>22090</v>
      </c>
    </row>
    <row r="305" spans="2:14" ht="21.75" customHeight="1">
      <c r="B305" s="52"/>
      <c r="C305" s="100" t="s">
        <v>755</v>
      </c>
      <c r="D305" s="101"/>
      <c r="E305" s="93" t="s">
        <v>274</v>
      </c>
      <c r="F305" s="89">
        <v>400</v>
      </c>
      <c r="G305" s="86">
        <v>39</v>
      </c>
      <c r="H305" s="94">
        <f t="shared" si="51"/>
        <v>15600</v>
      </c>
      <c r="I305" s="95">
        <v>30</v>
      </c>
      <c r="J305" s="95">
        <f t="shared" si="52"/>
        <v>12000</v>
      </c>
      <c r="K305" s="86">
        <f t="shared" si="53"/>
        <v>27600</v>
      </c>
      <c r="N305" s="108">
        <f t="shared" si="47"/>
        <v>27600</v>
      </c>
    </row>
    <row r="306" spans="2:14" ht="21.75" customHeight="1">
      <c r="B306" s="52"/>
      <c r="C306" s="100" t="s">
        <v>756</v>
      </c>
      <c r="D306" s="101"/>
      <c r="E306" s="93" t="s">
        <v>274</v>
      </c>
      <c r="F306" s="89">
        <v>125</v>
      </c>
      <c r="G306" s="86">
        <v>26</v>
      </c>
      <c r="H306" s="94">
        <f t="shared" si="51"/>
        <v>3250</v>
      </c>
      <c r="I306" s="95">
        <v>30</v>
      </c>
      <c r="J306" s="95">
        <f t="shared" si="52"/>
        <v>3750</v>
      </c>
      <c r="K306" s="86">
        <f t="shared" si="53"/>
        <v>7000</v>
      </c>
      <c r="N306" s="108">
        <f t="shared" si="47"/>
        <v>7000</v>
      </c>
    </row>
    <row r="307" spans="2:14" ht="21.75" customHeight="1">
      <c r="B307" s="96"/>
      <c r="C307" s="100" t="s">
        <v>757</v>
      </c>
      <c r="D307" s="101"/>
      <c r="E307" s="93" t="s">
        <v>325</v>
      </c>
      <c r="F307" s="89">
        <v>1</v>
      </c>
      <c r="G307" s="86">
        <f>SUM(H301:H306)*0.8</f>
        <v>133212</v>
      </c>
      <c r="H307" s="94">
        <f t="shared" si="51"/>
        <v>133212</v>
      </c>
      <c r="I307" s="95">
        <f>G307*0.3</f>
        <v>39963.6</v>
      </c>
      <c r="J307" s="95">
        <f t="shared" si="52"/>
        <v>39963.6</v>
      </c>
      <c r="K307" s="86">
        <f t="shared" si="53"/>
        <v>173175.6</v>
      </c>
      <c r="N307" s="108">
        <f t="shared" si="47"/>
        <v>173175.6</v>
      </c>
    </row>
    <row r="308" spans="2:14" ht="21.75" customHeight="1">
      <c r="B308" s="96">
        <v>1.3</v>
      </c>
      <c r="C308" s="100" t="s">
        <v>758</v>
      </c>
      <c r="D308" s="101"/>
      <c r="E308" s="93" t="s">
        <v>252</v>
      </c>
      <c r="F308" s="89">
        <v>1</v>
      </c>
      <c r="G308" s="86">
        <v>32110</v>
      </c>
      <c r="H308" s="94">
        <f t="shared" si="51"/>
        <v>32110</v>
      </c>
      <c r="I308" s="95">
        <v>600</v>
      </c>
      <c r="J308" s="95">
        <f t="shared" si="52"/>
        <v>600</v>
      </c>
      <c r="K308" s="86">
        <f t="shared" si="53"/>
        <v>32710</v>
      </c>
      <c r="N308" s="108">
        <f t="shared" si="47"/>
        <v>32710</v>
      </c>
    </row>
    <row r="309" spans="2:14" ht="21.75" customHeight="1">
      <c r="B309" s="96">
        <v>1.4</v>
      </c>
      <c r="C309" s="100" t="s">
        <v>759</v>
      </c>
      <c r="D309" s="101"/>
      <c r="E309" s="93" t="s">
        <v>252</v>
      </c>
      <c r="F309" s="89">
        <v>7</v>
      </c>
      <c r="G309" s="86">
        <v>3903</v>
      </c>
      <c r="H309" s="94">
        <f t="shared" si="51"/>
        <v>27321</v>
      </c>
      <c r="I309" s="95">
        <v>600</v>
      </c>
      <c r="J309" s="95">
        <f t="shared" si="52"/>
        <v>4200</v>
      </c>
      <c r="K309" s="86">
        <f t="shared" si="53"/>
        <v>31521</v>
      </c>
      <c r="N309" s="108">
        <f t="shared" si="47"/>
        <v>31521</v>
      </c>
    </row>
    <row r="310" spans="2:14" ht="21.75" customHeight="1">
      <c r="B310" s="96">
        <v>1.5</v>
      </c>
      <c r="C310" s="100" t="s">
        <v>760</v>
      </c>
      <c r="D310" s="101"/>
      <c r="E310" s="93" t="s">
        <v>252</v>
      </c>
      <c r="F310" s="89">
        <v>4</v>
      </c>
      <c r="G310" s="86">
        <v>2964</v>
      </c>
      <c r="H310" s="94">
        <f aca="true" t="shared" si="54" ref="H310:H320">F310*G310</f>
        <v>11856</v>
      </c>
      <c r="I310" s="95">
        <v>400</v>
      </c>
      <c r="J310" s="95">
        <f aca="true" t="shared" si="55" ref="J310:J320">F310*I310</f>
        <v>1600</v>
      </c>
      <c r="K310" s="86">
        <f aca="true" t="shared" si="56" ref="K310:K320">F310*(G310+I310)</f>
        <v>13456</v>
      </c>
      <c r="N310" s="108">
        <f t="shared" si="47"/>
        <v>13456</v>
      </c>
    </row>
    <row r="311" spans="2:14" ht="21.75" customHeight="1">
      <c r="B311" s="96">
        <v>1.6</v>
      </c>
      <c r="C311" s="100" t="s">
        <v>761</v>
      </c>
      <c r="D311" s="101"/>
      <c r="E311" s="93" t="s">
        <v>252</v>
      </c>
      <c r="F311" s="89">
        <v>2</v>
      </c>
      <c r="G311" s="86">
        <v>7035</v>
      </c>
      <c r="H311" s="94">
        <f t="shared" si="54"/>
        <v>14070</v>
      </c>
      <c r="I311" s="95">
        <v>600</v>
      </c>
      <c r="J311" s="95">
        <f t="shared" si="55"/>
        <v>1200</v>
      </c>
      <c r="K311" s="86">
        <f t="shared" si="56"/>
        <v>15270</v>
      </c>
      <c r="N311" s="108">
        <f t="shared" si="47"/>
        <v>15270</v>
      </c>
    </row>
    <row r="312" spans="2:14" ht="21.75" customHeight="1">
      <c r="B312" s="96">
        <v>1.7</v>
      </c>
      <c r="C312" s="100" t="s">
        <v>762</v>
      </c>
      <c r="D312" s="101"/>
      <c r="E312" s="93" t="s">
        <v>252</v>
      </c>
      <c r="F312" s="89">
        <v>4</v>
      </c>
      <c r="G312" s="86">
        <v>2118</v>
      </c>
      <c r="H312" s="94">
        <f t="shared" si="54"/>
        <v>8472</v>
      </c>
      <c r="I312" s="95">
        <v>600</v>
      </c>
      <c r="J312" s="95">
        <f t="shared" si="55"/>
        <v>2400</v>
      </c>
      <c r="K312" s="86">
        <f t="shared" si="56"/>
        <v>10872</v>
      </c>
      <c r="N312" s="108">
        <f t="shared" si="47"/>
        <v>10872</v>
      </c>
    </row>
    <row r="313" spans="2:14" ht="21.75" customHeight="1">
      <c r="B313" s="96">
        <v>1.8</v>
      </c>
      <c r="C313" s="100" t="s">
        <v>763</v>
      </c>
      <c r="D313" s="101"/>
      <c r="E313" s="93" t="s">
        <v>252</v>
      </c>
      <c r="F313" s="89">
        <v>2</v>
      </c>
      <c r="G313" s="86">
        <v>3283</v>
      </c>
      <c r="H313" s="94">
        <f t="shared" si="54"/>
        <v>6566</v>
      </c>
      <c r="I313" s="95">
        <v>600</v>
      </c>
      <c r="J313" s="95">
        <f t="shared" si="55"/>
        <v>1200</v>
      </c>
      <c r="K313" s="86">
        <f t="shared" si="56"/>
        <v>7766</v>
      </c>
      <c r="N313" s="108">
        <f t="shared" si="47"/>
        <v>7766</v>
      </c>
    </row>
    <row r="314" spans="2:14" ht="21.75" customHeight="1">
      <c r="B314" s="96">
        <v>1.9</v>
      </c>
      <c r="C314" s="100" t="s">
        <v>764</v>
      </c>
      <c r="D314" s="101"/>
      <c r="E314" s="93" t="s">
        <v>252</v>
      </c>
      <c r="F314" s="89">
        <v>2</v>
      </c>
      <c r="G314" s="86">
        <v>3540</v>
      </c>
      <c r="H314" s="94">
        <f t="shared" si="54"/>
        <v>7080</v>
      </c>
      <c r="I314" s="95">
        <v>600</v>
      </c>
      <c r="J314" s="95">
        <f t="shared" si="55"/>
        <v>1200</v>
      </c>
      <c r="K314" s="86">
        <f t="shared" si="56"/>
        <v>8280</v>
      </c>
      <c r="N314" s="108">
        <f t="shared" si="47"/>
        <v>8280</v>
      </c>
    </row>
    <row r="315" spans="2:14" ht="21.75" customHeight="1">
      <c r="B315" s="182">
        <v>1.1</v>
      </c>
      <c r="C315" s="100" t="s">
        <v>765</v>
      </c>
      <c r="D315" s="101"/>
      <c r="E315" s="93" t="s">
        <v>252</v>
      </c>
      <c r="F315" s="89">
        <v>2</v>
      </c>
      <c r="G315" s="86">
        <v>3066</v>
      </c>
      <c r="H315" s="94">
        <f t="shared" si="54"/>
        <v>6132</v>
      </c>
      <c r="I315" s="95">
        <v>600</v>
      </c>
      <c r="J315" s="95">
        <f t="shared" si="55"/>
        <v>1200</v>
      </c>
      <c r="K315" s="86">
        <f t="shared" si="56"/>
        <v>7332</v>
      </c>
      <c r="N315" s="108">
        <f t="shared" si="47"/>
        <v>7332</v>
      </c>
    </row>
    <row r="316" spans="2:14" ht="21.75" customHeight="1">
      <c r="B316" s="96">
        <v>1.11</v>
      </c>
      <c r="C316" s="100" t="s">
        <v>766</v>
      </c>
      <c r="D316" s="101"/>
      <c r="E316" s="93" t="s">
        <v>252</v>
      </c>
      <c r="F316" s="89">
        <v>4</v>
      </c>
      <c r="G316" s="86">
        <v>845</v>
      </c>
      <c r="H316" s="94">
        <f t="shared" si="54"/>
        <v>3380</v>
      </c>
      <c r="I316" s="95">
        <v>300</v>
      </c>
      <c r="J316" s="95">
        <f t="shared" si="55"/>
        <v>1200</v>
      </c>
      <c r="K316" s="86">
        <f t="shared" si="56"/>
        <v>4580</v>
      </c>
      <c r="N316" s="108">
        <f t="shared" si="47"/>
        <v>4580</v>
      </c>
    </row>
    <row r="317" spans="2:14" ht="21.75" customHeight="1">
      <c r="B317" s="96">
        <v>1.12</v>
      </c>
      <c r="C317" s="100" t="s">
        <v>767</v>
      </c>
      <c r="D317" s="101"/>
      <c r="E317" s="93" t="s">
        <v>252</v>
      </c>
      <c r="F317" s="89">
        <v>9</v>
      </c>
      <c r="G317" s="86">
        <v>455</v>
      </c>
      <c r="H317" s="94">
        <f t="shared" si="54"/>
        <v>4095</v>
      </c>
      <c r="I317" s="95">
        <v>200</v>
      </c>
      <c r="J317" s="95">
        <f t="shared" si="55"/>
        <v>1800</v>
      </c>
      <c r="K317" s="86">
        <f t="shared" si="56"/>
        <v>5895</v>
      </c>
      <c r="N317" s="108">
        <f t="shared" si="47"/>
        <v>5895</v>
      </c>
    </row>
    <row r="318" spans="2:14" ht="21.75" customHeight="1">
      <c r="B318" s="96">
        <v>1.13</v>
      </c>
      <c r="C318" s="100" t="s">
        <v>768</v>
      </c>
      <c r="D318" s="101"/>
      <c r="E318" s="93" t="s">
        <v>252</v>
      </c>
      <c r="F318" s="89">
        <v>8</v>
      </c>
      <c r="G318" s="86">
        <v>340</v>
      </c>
      <c r="H318" s="94">
        <f t="shared" si="54"/>
        <v>2720</v>
      </c>
      <c r="I318" s="95">
        <v>150</v>
      </c>
      <c r="J318" s="95">
        <f t="shared" si="55"/>
        <v>1200</v>
      </c>
      <c r="K318" s="86">
        <f t="shared" si="56"/>
        <v>3920</v>
      </c>
      <c r="N318" s="108">
        <f t="shared" si="47"/>
        <v>3920</v>
      </c>
    </row>
    <row r="319" spans="2:14" ht="21.75" customHeight="1">
      <c r="B319" s="96">
        <v>1.14</v>
      </c>
      <c r="C319" s="100" t="s">
        <v>769</v>
      </c>
      <c r="D319" s="101"/>
      <c r="E319" s="93" t="s">
        <v>252</v>
      </c>
      <c r="F319" s="89">
        <v>127</v>
      </c>
      <c r="G319" s="86">
        <v>320</v>
      </c>
      <c r="H319" s="94">
        <f t="shared" si="54"/>
        <v>40640</v>
      </c>
      <c r="I319" s="95">
        <v>50</v>
      </c>
      <c r="J319" s="95">
        <f t="shared" si="55"/>
        <v>6350</v>
      </c>
      <c r="K319" s="86">
        <f t="shared" si="56"/>
        <v>46990</v>
      </c>
      <c r="N319" s="108">
        <f t="shared" si="47"/>
        <v>46990</v>
      </c>
    </row>
    <row r="320" spans="2:14" ht="21.75" customHeight="1">
      <c r="B320" s="96">
        <v>1.15</v>
      </c>
      <c r="C320" s="100" t="s">
        <v>770</v>
      </c>
      <c r="D320" s="101"/>
      <c r="E320" s="93" t="s">
        <v>252</v>
      </c>
      <c r="F320" s="89">
        <v>32</v>
      </c>
      <c r="G320" s="86">
        <v>350</v>
      </c>
      <c r="H320" s="94">
        <f t="shared" si="54"/>
        <v>11200</v>
      </c>
      <c r="I320" s="95">
        <v>25</v>
      </c>
      <c r="J320" s="95">
        <f t="shared" si="55"/>
        <v>800</v>
      </c>
      <c r="K320" s="86">
        <f t="shared" si="56"/>
        <v>12000</v>
      </c>
      <c r="N320" s="108">
        <f t="shared" si="47"/>
        <v>12000</v>
      </c>
    </row>
    <row r="321" spans="2:14" ht="21.75" customHeight="1">
      <c r="B321" s="70">
        <v>2</v>
      </c>
      <c r="C321" s="716" t="s">
        <v>517</v>
      </c>
      <c r="D321" s="717"/>
      <c r="E321" s="93"/>
      <c r="F321" s="89"/>
      <c r="G321" s="86"/>
      <c r="H321" s="89"/>
      <c r="I321" s="86"/>
      <c r="J321" s="86"/>
      <c r="K321" s="94"/>
      <c r="N321" s="108">
        <f t="shared" si="47"/>
        <v>0</v>
      </c>
    </row>
    <row r="322" spans="2:14" ht="21.75" customHeight="1">
      <c r="B322" s="96" t="s">
        <v>454</v>
      </c>
      <c r="C322" s="100" t="s">
        <v>518</v>
      </c>
      <c r="D322" s="101"/>
      <c r="E322" s="93" t="s">
        <v>274</v>
      </c>
      <c r="F322" s="89">
        <v>110</v>
      </c>
      <c r="G322" s="86">
        <v>308</v>
      </c>
      <c r="H322" s="94">
        <f>F322*G322</f>
        <v>33880</v>
      </c>
      <c r="I322" s="95">
        <v>200</v>
      </c>
      <c r="J322" s="95">
        <f>F322*I322</f>
        <v>22000</v>
      </c>
      <c r="K322" s="86">
        <f>F322*(G322+I322)</f>
        <v>55880</v>
      </c>
      <c r="N322" s="108">
        <f t="shared" si="47"/>
        <v>55880</v>
      </c>
    </row>
    <row r="323" spans="2:14" ht="21.75" customHeight="1">
      <c r="B323" s="96" t="s">
        <v>455</v>
      </c>
      <c r="C323" s="100" t="s">
        <v>519</v>
      </c>
      <c r="D323" s="101"/>
      <c r="E323" s="93" t="s">
        <v>274</v>
      </c>
      <c r="F323" s="89">
        <v>300</v>
      </c>
      <c r="G323" s="86">
        <v>146</v>
      </c>
      <c r="H323" s="94">
        <f>F323*G323</f>
        <v>43800</v>
      </c>
      <c r="I323" s="95">
        <v>100</v>
      </c>
      <c r="J323" s="95">
        <f>F323*I323</f>
        <v>30000</v>
      </c>
      <c r="K323" s="86">
        <f>F323*(G323+I323)</f>
        <v>73800</v>
      </c>
      <c r="N323" s="108">
        <f t="shared" si="47"/>
        <v>73800</v>
      </c>
    </row>
    <row r="324" spans="2:14" ht="21.75" customHeight="1">
      <c r="B324" s="96" t="s">
        <v>456</v>
      </c>
      <c r="C324" s="100" t="s">
        <v>520</v>
      </c>
      <c r="D324" s="101"/>
      <c r="E324" s="93" t="s">
        <v>274</v>
      </c>
      <c r="F324" s="89">
        <v>40</v>
      </c>
      <c r="G324" s="86">
        <v>41</v>
      </c>
      <c r="H324" s="94">
        <f>F324*G324</f>
        <v>1640</v>
      </c>
      <c r="I324" s="95">
        <v>40</v>
      </c>
      <c r="J324" s="95">
        <f>F324*I324</f>
        <v>1600</v>
      </c>
      <c r="K324" s="86">
        <f>F324*(G324+I324)</f>
        <v>3240</v>
      </c>
      <c r="N324" s="108">
        <f t="shared" si="47"/>
        <v>3240</v>
      </c>
    </row>
    <row r="325" spans="2:14" ht="21.75" customHeight="1">
      <c r="B325" s="96" t="s">
        <v>457</v>
      </c>
      <c r="C325" s="100" t="s">
        <v>771</v>
      </c>
      <c r="D325" s="101"/>
      <c r="E325" s="93" t="s">
        <v>325</v>
      </c>
      <c r="F325" s="89">
        <v>1</v>
      </c>
      <c r="G325" s="86">
        <f>SUM(H322:H324)*0.8</f>
        <v>63456</v>
      </c>
      <c r="H325" s="94">
        <f>F325*G325</f>
        <v>63456</v>
      </c>
      <c r="I325" s="95">
        <f>G325*0.3</f>
        <v>19036.8</v>
      </c>
      <c r="J325" s="95">
        <f>F325*I325</f>
        <v>19036.8</v>
      </c>
      <c r="K325" s="86">
        <f>F325*(G325+I325)</f>
        <v>82492.8</v>
      </c>
      <c r="N325" s="108">
        <f t="shared" si="47"/>
        <v>82492.8</v>
      </c>
    </row>
    <row r="326" spans="2:14" ht="21.75" customHeight="1">
      <c r="B326" s="96" t="s">
        <v>458</v>
      </c>
      <c r="C326" s="100" t="s">
        <v>772</v>
      </c>
      <c r="D326" s="101"/>
      <c r="E326" s="93" t="s">
        <v>252</v>
      </c>
      <c r="F326" s="89">
        <v>5</v>
      </c>
      <c r="G326" s="86">
        <v>400</v>
      </c>
      <c r="H326" s="94">
        <f>F326*G326</f>
        <v>2000</v>
      </c>
      <c r="I326" s="95">
        <v>300</v>
      </c>
      <c r="J326" s="95">
        <f>F326*I326</f>
        <v>1500</v>
      </c>
      <c r="K326" s="86">
        <f>F326*(G326+I326)</f>
        <v>3500</v>
      </c>
      <c r="N326" s="108">
        <f t="shared" si="47"/>
        <v>3500</v>
      </c>
    </row>
    <row r="327" spans="2:14" ht="21.75" customHeight="1">
      <c r="B327" s="96" t="s">
        <v>459</v>
      </c>
      <c r="C327" s="100" t="s">
        <v>773</v>
      </c>
      <c r="D327" s="101"/>
      <c r="E327" s="93" t="s">
        <v>252</v>
      </c>
      <c r="F327" s="89">
        <v>24</v>
      </c>
      <c r="G327" s="86">
        <v>240</v>
      </c>
      <c r="H327" s="94">
        <f aca="true" t="shared" si="57" ref="H327:H332">F327*G327</f>
        <v>5760</v>
      </c>
      <c r="I327" s="95">
        <v>200</v>
      </c>
      <c r="J327" s="95">
        <f aca="true" t="shared" si="58" ref="J327:J332">F327*I327</f>
        <v>4800</v>
      </c>
      <c r="K327" s="86">
        <f aca="true" t="shared" si="59" ref="K327:K332">F327*(G327+I327)</f>
        <v>10560</v>
      </c>
      <c r="N327" s="108">
        <f t="shared" si="47"/>
        <v>10560</v>
      </c>
    </row>
    <row r="328" spans="2:14" ht="21.75" customHeight="1">
      <c r="B328" s="96" t="s">
        <v>460</v>
      </c>
      <c r="C328" s="100" t="s">
        <v>774</v>
      </c>
      <c r="D328" s="101"/>
      <c r="E328" s="93" t="s">
        <v>252</v>
      </c>
      <c r="F328" s="89">
        <v>2</v>
      </c>
      <c r="G328" s="86">
        <v>130</v>
      </c>
      <c r="H328" s="94">
        <f t="shared" si="57"/>
        <v>260</v>
      </c>
      <c r="I328" s="95">
        <v>100</v>
      </c>
      <c r="J328" s="95">
        <f t="shared" si="58"/>
        <v>200</v>
      </c>
      <c r="K328" s="86">
        <f t="shared" si="59"/>
        <v>460</v>
      </c>
      <c r="N328" s="108">
        <f t="shared" si="47"/>
        <v>460</v>
      </c>
    </row>
    <row r="329" spans="2:14" ht="21.75" customHeight="1">
      <c r="B329" s="96" t="s">
        <v>461</v>
      </c>
      <c r="C329" s="100" t="s">
        <v>775</v>
      </c>
      <c r="D329" s="101"/>
      <c r="E329" s="93" t="s">
        <v>252</v>
      </c>
      <c r="F329" s="89">
        <v>9</v>
      </c>
      <c r="G329" s="86">
        <v>700</v>
      </c>
      <c r="H329" s="94">
        <f t="shared" si="57"/>
        <v>6300</v>
      </c>
      <c r="I329" s="95">
        <v>400</v>
      </c>
      <c r="J329" s="95">
        <f t="shared" si="58"/>
        <v>3600</v>
      </c>
      <c r="K329" s="86">
        <f t="shared" si="59"/>
        <v>9900</v>
      </c>
      <c r="N329" s="108">
        <f t="shared" si="47"/>
        <v>9900</v>
      </c>
    </row>
    <row r="330" spans="2:14" ht="21.75" customHeight="1">
      <c r="B330" s="96" t="s">
        <v>462</v>
      </c>
      <c r="C330" s="100" t="s">
        <v>776</v>
      </c>
      <c r="D330" s="101"/>
      <c r="E330" s="93" t="s">
        <v>252</v>
      </c>
      <c r="F330" s="89">
        <v>1</v>
      </c>
      <c r="G330" s="86">
        <v>511</v>
      </c>
      <c r="H330" s="94">
        <f t="shared" si="57"/>
        <v>511</v>
      </c>
      <c r="I330" s="95">
        <v>200</v>
      </c>
      <c r="J330" s="95">
        <f t="shared" si="58"/>
        <v>200</v>
      </c>
      <c r="K330" s="86">
        <f t="shared" si="59"/>
        <v>711</v>
      </c>
      <c r="N330" s="108">
        <f t="shared" si="47"/>
        <v>711</v>
      </c>
    </row>
    <row r="331" spans="2:14" ht="21.75" customHeight="1">
      <c r="B331" s="96" t="s">
        <v>463</v>
      </c>
      <c r="C331" s="100" t="s">
        <v>521</v>
      </c>
      <c r="D331" s="101"/>
      <c r="E331" s="93" t="s">
        <v>272</v>
      </c>
      <c r="F331" s="89">
        <v>1</v>
      </c>
      <c r="G331" s="86">
        <v>950</v>
      </c>
      <c r="H331" s="94">
        <f t="shared" si="57"/>
        <v>950</v>
      </c>
      <c r="I331" s="95">
        <v>300</v>
      </c>
      <c r="J331" s="95">
        <f t="shared" si="58"/>
        <v>300</v>
      </c>
      <c r="K331" s="86">
        <f t="shared" si="59"/>
        <v>1250</v>
      </c>
      <c r="N331" s="108">
        <f t="shared" si="47"/>
        <v>1250</v>
      </c>
    </row>
    <row r="332" spans="2:14" ht="21.75" customHeight="1">
      <c r="B332" s="96" t="s">
        <v>464</v>
      </c>
      <c r="C332" s="100" t="s">
        <v>522</v>
      </c>
      <c r="D332" s="101"/>
      <c r="E332" s="93" t="s">
        <v>272</v>
      </c>
      <c r="F332" s="89">
        <v>1</v>
      </c>
      <c r="G332" s="86">
        <v>800</v>
      </c>
      <c r="H332" s="94">
        <f t="shared" si="57"/>
        <v>800</v>
      </c>
      <c r="I332" s="95">
        <v>200</v>
      </c>
      <c r="J332" s="95">
        <f t="shared" si="58"/>
        <v>200</v>
      </c>
      <c r="K332" s="86">
        <f t="shared" si="59"/>
        <v>1000</v>
      </c>
      <c r="N332" s="108">
        <f t="shared" si="47"/>
        <v>1000</v>
      </c>
    </row>
    <row r="333" spans="2:14" ht="21.75" customHeight="1">
      <c r="B333" s="70">
        <v>3</v>
      </c>
      <c r="C333" s="716" t="s">
        <v>523</v>
      </c>
      <c r="D333" s="717"/>
      <c r="E333" s="93"/>
      <c r="F333" s="89"/>
      <c r="G333" s="86"/>
      <c r="H333" s="89"/>
      <c r="I333" s="86"/>
      <c r="J333" s="86"/>
      <c r="K333" s="94"/>
      <c r="N333" s="108">
        <f t="shared" si="47"/>
        <v>0</v>
      </c>
    </row>
    <row r="334" spans="2:14" ht="21.75" customHeight="1">
      <c r="B334" s="96" t="s">
        <v>465</v>
      </c>
      <c r="C334" s="100" t="s">
        <v>524</v>
      </c>
      <c r="D334" s="101"/>
      <c r="E334" s="93" t="s">
        <v>274</v>
      </c>
      <c r="F334" s="89">
        <v>80</v>
      </c>
      <c r="G334" s="86">
        <v>146</v>
      </c>
      <c r="H334" s="94">
        <f aca="true" t="shared" si="60" ref="H334:H345">F334*G334</f>
        <v>11680</v>
      </c>
      <c r="I334" s="95">
        <v>100</v>
      </c>
      <c r="J334" s="95">
        <f aca="true" t="shared" si="61" ref="J334:J345">F334*I334</f>
        <v>8000</v>
      </c>
      <c r="K334" s="86">
        <f aca="true" t="shared" si="62" ref="K334:K345">F334*(G334+I334)</f>
        <v>19680</v>
      </c>
      <c r="N334" s="108">
        <f t="shared" si="47"/>
        <v>19680</v>
      </c>
    </row>
    <row r="335" spans="2:14" ht="21.75" customHeight="1">
      <c r="B335" s="96" t="s">
        <v>466</v>
      </c>
      <c r="C335" s="100" t="s">
        <v>525</v>
      </c>
      <c r="D335" s="101"/>
      <c r="E335" s="93" t="s">
        <v>274</v>
      </c>
      <c r="F335" s="89">
        <v>340</v>
      </c>
      <c r="G335" s="86">
        <v>90</v>
      </c>
      <c r="H335" s="94">
        <f t="shared" si="60"/>
        <v>30600</v>
      </c>
      <c r="I335" s="95">
        <v>75</v>
      </c>
      <c r="J335" s="95">
        <f t="shared" si="61"/>
        <v>25500</v>
      </c>
      <c r="K335" s="86">
        <f t="shared" si="62"/>
        <v>56100</v>
      </c>
      <c r="N335" s="108">
        <f t="shared" si="47"/>
        <v>56100</v>
      </c>
    </row>
    <row r="336" spans="2:14" ht="21.75" customHeight="1">
      <c r="B336" s="96" t="s">
        <v>467</v>
      </c>
      <c r="C336" s="100" t="s">
        <v>526</v>
      </c>
      <c r="D336" s="101"/>
      <c r="E336" s="93" t="s">
        <v>274</v>
      </c>
      <c r="F336" s="89">
        <v>280</v>
      </c>
      <c r="G336" s="86">
        <v>41</v>
      </c>
      <c r="H336" s="94">
        <f t="shared" si="60"/>
        <v>11480</v>
      </c>
      <c r="I336" s="95">
        <v>40</v>
      </c>
      <c r="J336" s="95">
        <f t="shared" si="61"/>
        <v>11200</v>
      </c>
      <c r="K336" s="86">
        <f t="shared" si="62"/>
        <v>22680</v>
      </c>
      <c r="N336" s="108">
        <f t="shared" si="47"/>
        <v>22680</v>
      </c>
    </row>
    <row r="337" spans="2:14" ht="21.75" customHeight="1">
      <c r="B337" s="96" t="s">
        <v>468</v>
      </c>
      <c r="C337" s="100" t="s">
        <v>771</v>
      </c>
      <c r="D337" s="101"/>
      <c r="E337" s="93" t="s">
        <v>325</v>
      </c>
      <c r="F337" s="89">
        <v>1</v>
      </c>
      <c r="G337" s="86">
        <f>SUM(H334:H336)*0.8</f>
        <v>43008</v>
      </c>
      <c r="H337" s="94">
        <f t="shared" si="60"/>
        <v>43008</v>
      </c>
      <c r="I337" s="95">
        <f>G337*0.3</f>
        <v>12902.4</v>
      </c>
      <c r="J337" s="95">
        <f t="shared" si="61"/>
        <v>12902.4</v>
      </c>
      <c r="K337" s="86">
        <f t="shared" si="62"/>
        <v>55910.4</v>
      </c>
      <c r="N337" s="108">
        <f t="shared" si="47"/>
        <v>55910.4</v>
      </c>
    </row>
    <row r="338" spans="2:14" ht="21.75" customHeight="1">
      <c r="B338" s="96" t="s">
        <v>469</v>
      </c>
      <c r="C338" s="100" t="s">
        <v>777</v>
      </c>
      <c r="D338" s="101"/>
      <c r="E338" s="93" t="s">
        <v>252</v>
      </c>
      <c r="F338" s="89">
        <v>2</v>
      </c>
      <c r="G338" s="86">
        <v>700</v>
      </c>
      <c r="H338" s="94">
        <f t="shared" si="60"/>
        <v>1400</v>
      </c>
      <c r="I338" s="95">
        <v>300</v>
      </c>
      <c r="J338" s="95">
        <f t="shared" si="61"/>
        <v>600</v>
      </c>
      <c r="K338" s="86">
        <f t="shared" si="62"/>
        <v>2000</v>
      </c>
      <c r="N338" s="108">
        <f aca="true" t="shared" si="63" ref="N338:N394">(G338+I338)*F338</f>
        <v>2000</v>
      </c>
    </row>
    <row r="339" spans="2:14" ht="21.75" customHeight="1">
      <c r="B339" s="96" t="s">
        <v>470</v>
      </c>
      <c r="C339" s="100" t="s">
        <v>776</v>
      </c>
      <c r="D339" s="101"/>
      <c r="E339" s="93" t="s">
        <v>252</v>
      </c>
      <c r="F339" s="89">
        <v>2</v>
      </c>
      <c r="G339" s="86">
        <v>511</v>
      </c>
      <c r="H339" s="94">
        <f t="shared" si="60"/>
        <v>1022</v>
      </c>
      <c r="I339" s="95">
        <v>200</v>
      </c>
      <c r="J339" s="95">
        <f t="shared" si="61"/>
        <v>400</v>
      </c>
      <c r="K339" s="86">
        <f t="shared" si="62"/>
        <v>1422</v>
      </c>
      <c r="N339" s="108">
        <f t="shared" si="63"/>
        <v>1422</v>
      </c>
    </row>
    <row r="340" spans="2:14" ht="21.75" customHeight="1">
      <c r="B340" s="96" t="s">
        <v>471</v>
      </c>
      <c r="C340" s="100" t="s">
        <v>778</v>
      </c>
      <c r="D340" s="101"/>
      <c r="E340" s="93" t="s">
        <v>252</v>
      </c>
      <c r="F340" s="89">
        <v>3</v>
      </c>
      <c r="G340" s="86">
        <v>240</v>
      </c>
      <c r="H340" s="94">
        <f t="shared" si="60"/>
        <v>720</v>
      </c>
      <c r="I340" s="95">
        <v>200</v>
      </c>
      <c r="J340" s="95">
        <f t="shared" si="61"/>
        <v>600</v>
      </c>
      <c r="K340" s="86">
        <f t="shared" si="62"/>
        <v>1320</v>
      </c>
      <c r="N340" s="108">
        <f t="shared" si="63"/>
        <v>1320</v>
      </c>
    </row>
    <row r="341" spans="2:14" ht="21.75" customHeight="1">
      <c r="B341" s="96" t="s">
        <v>472</v>
      </c>
      <c r="C341" s="100" t="s">
        <v>779</v>
      </c>
      <c r="D341" s="101"/>
      <c r="E341" s="93" t="s">
        <v>252</v>
      </c>
      <c r="F341" s="89">
        <v>24</v>
      </c>
      <c r="G341" s="86">
        <v>170</v>
      </c>
      <c r="H341" s="94">
        <f t="shared" si="60"/>
        <v>4080</v>
      </c>
      <c r="I341" s="95">
        <v>150</v>
      </c>
      <c r="J341" s="95">
        <f t="shared" si="61"/>
        <v>3600</v>
      </c>
      <c r="K341" s="86">
        <f t="shared" si="62"/>
        <v>7680</v>
      </c>
      <c r="N341" s="108">
        <f t="shared" si="63"/>
        <v>7680</v>
      </c>
    </row>
    <row r="342" spans="2:14" ht="21.75" customHeight="1">
      <c r="B342" s="96" t="s">
        <v>473</v>
      </c>
      <c r="C342" s="100" t="s">
        <v>780</v>
      </c>
      <c r="D342" s="101"/>
      <c r="E342" s="93" t="s">
        <v>252</v>
      </c>
      <c r="F342" s="89">
        <v>6</v>
      </c>
      <c r="G342" s="86">
        <v>130</v>
      </c>
      <c r="H342" s="94">
        <f t="shared" si="60"/>
        <v>780</v>
      </c>
      <c r="I342" s="95">
        <v>100</v>
      </c>
      <c r="J342" s="95">
        <f t="shared" si="61"/>
        <v>600</v>
      </c>
      <c r="K342" s="86">
        <f t="shared" si="62"/>
        <v>1380</v>
      </c>
      <c r="N342" s="108">
        <f t="shared" si="63"/>
        <v>1380</v>
      </c>
    </row>
    <row r="343" spans="2:14" ht="21.75" customHeight="1">
      <c r="B343" s="182">
        <v>3.1</v>
      </c>
      <c r="C343" s="100" t="s">
        <v>527</v>
      </c>
      <c r="D343" s="101"/>
      <c r="E343" s="93" t="s">
        <v>252</v>
      </c>
      <c r="F343" s="89">
        <v>80</v>
      </c>
      <c r="G343" s="86">
        <v>465</v>
      </c>
      <c r="H343" s="94">
        <f t="shared" si="60"/>
        <v>37200</v>
      </c>
      <c r="I343" s="95">
        <v>200</v>
      </c>
      <c r="J343" s="95">
        <f t="shared" si="61"/>
        <v>16000</v>
      </c>
      <c r="K343" s="86">
        <f t="shared" si="62"/>
        <v>53200</v>
      </c>
      <c r="N343" s="108">
        <f t="shared" si="63"/>
        <v>53200</v>
      </c>
    </row>
    <row r="344" spans="2:14" ht="21.75" customHeight="1">
      <c r="B344" s="96">
        <v>3.11</v>
      </c>
      <c r="C344" s="100" t="s">
        <v>522</v>
      </c>
      <c r="D344" s="101"/>
      <c r="E344" s="93" t="s">
        <v>272</v>
      </c>
      <c r="F344" s="89">
        <v>1</v>
      </c>
      <c r="G344" s="86">
        <v>800</v>
      </c>
      <c r="H344" s="94">
        <f t="shared" si="60"/>
        <v>800</v>
      </c>
      <c r="I344" s="95">
        <v>200</v>
      </c>
      <c r="J344" s="95">
        <f t="shared" si="61"/>
        <v>200</v>
      </c>
      <c r="K344" s="86">
        <f t="shared" si="62"/>
        <v>1000</v>
      </c>
      <c r="N344" s="108">
        <f t="shared" si="63"/>
        <v>1000</v>
      </c>
    </row>
    <row r="345" spans="2:14" ht="21.75" customHeight="1">
      <c r="B345" s="96">
        <v>3.12</v>
      </c>
      <c r="C345" s="100" t="s">
        <v>528</v>
      </c>
      <c r="D345" s="101"/>
      <c r="E345" s="93" t="s">
        <v>272</v>
      </c>
      <c r="F345" s="89">
        <v>1</v>
      </c>
      <c r="G345" s="86">
        <v>600</v>
      </c>
      <c r="H345" s="94">
        <f t="shared" si="60"/>
        <v>600</v>
      </c>
      <c r="I345" s="95">
        <v>150</v>
      </c>
      <c r="J345" s="95">
        <f t="shared" si="61"/>
        <v>150</v>
      </c>
      <c r="K345" s="86">
        <f t="shared" si="62"/>
        <v>750</v>
      </c>
      <c r="N345" s="108">
        <f t="shared" si="63"/>
        <v>750</v>
      </c>
    </row>
    <row r="346" spans="2:14" ht="21.75" customHeight="1">
      <c r="B346" s="70">
        <v>4</v>
      </c>
      <c r="C346" s="716" t="s">
        <v>529</v>
      </c>
      <c r="D346" s="717"/>
      <c r="E346" s="93"/>
      <c r="F346" s="89"/>
      <c r="G346" s="86"/>
      <c r="H346" s="89"/>
      <c r="I346" s="86"/>
      <c r="J346" s="86"/>
      <c r="K346" s="94"/>
      <c r="N346" s="108">
        <f t="shared" si="63"/>
        <v>0</v>
      </c>
    </row>
    <row r="347" spans="2:14" ht="21.75" customHeight="1">
      <c r="B347" s="96" t="s">
        <v>474</v>
      </c>
      <c r="C347" s="100" t="s">
        <v>877</v>
      </c>
      <c r="D347" s="101"/>
      <c r="E347" s="93" t="s">
        <v>274</v>
      </c>
      <c r="F347" s="89">
        <v>45</v>
      </c>
      <c r="G347" s="86">
        <v>65</v>
      </c>
      <c r="H347" s="94">
        <f aca="true" t="shared" si="64" ref="H347:H354">F347*G347</f>
        <v>2925</v>
      </c>
      <c r="I347" s="95">
        <v>50</v>
      </c>
      <c r="J347" s="95">
        <f aca="true" t="shared" si="65" ref="J347:J354">F347*I347</f>
        <v>2250</v>
      </c>
      <c r="K347" s="86">
        <f aca="true" t="shared" si="66" ref="K347:K354">F347*(G347+I347)</f>
        <v>5175</v>
      </c>
      <c r="N347" s="108">
        <f t="shared" si="63"/>
        <v>5175</v>
      </c>
    </row>
    <row r="348" spans="2:14" ht="21.75" customHeight="1">
      <c r="B348" s="96" t="s">
        <v>475</v>
      </c>
      <c r="C348" s="100" t="s">
        <v>530</v>
      </c>
      <c r="D348" s="101"/>
      <c r="E348" s="93" t="s">
        <v>274</v>
      </c>
      <c r="F348" s="89">
        <v>190</v>
      </c>
      <c r="G348" s="86">
        <v>41</v>
      </c>
      <c r="H348" s="94">
        <f t="shared" si="64"/>
        <v>7790</v>
      </c>
      <c r="I348" s="95">
        <v>40</v>
      </c>
      <c r="J348" s="95">
        <f t="shared" si="65"/>
        <v>7600</v>
      </c>
      <c r="K348" s="86">
        <f t="shared" si="66"/>
        <v>15390</v>
      </c>
      <c r="N348" s="108">
        <f t="shared" si="63"/>
        <v>15390</v>
      </c>
    </row>
    <row r="349" spans="2:14" ht="21.75" customHeight="1">
      <c r="B349" s="96" t="s">
        <v>476</v>
      </c>
      <c r="C349" s="100" t="s">
        <v>878</v>
      </c>
      <c r="D349" s="101"/>
      <c r="E349" s="93" t="s">
        <v>274</v>
      </c>
      <c r="F349" s="89">
        <v>390</v>
      </c>
      <c r="G349" s="86">
        <v>26</v>
      </c>
      <c r="H349" s="94">
        <f t="shared" si="64"/>
        <v>10140</v>
      </c>
      <c r="I349" s="95">
        <v>30</v>
      </c>
      <c r="J349" s="95">
        <f t="shared" si="65"/>
        <v>11700</v>
      </c>
      <c r="K349" s="86">
        <f t="shared" si="66"/>
        <v>21840</v>
      </c>
      <c r="N349" s="108">
        <f t="shared" si="63"/>
        <v>21840</v>
      </c>
    </row>
    <row r="350" spans="2:14" ht="21.75" customHeight="1">
      <c r="B350" s="96" t="s">
        <v>477</v>
      </c>
      <c r="C350" s="100" t="s">
        <v>879</v>
      </c>
      <c r="D350" s="101"/>
      <c r="E350" s="93" t="s">
        <v>274</v>
      </c>
      <c r="F350" s="89">
        <v>300</v>
      </c>
      <c r="G350" s="86">
        <v>20</v>
      </c>
      <c r="H350" s="94">
        <f t="shared" si="64"/>
        <v>6000</v>
      </c>
      <c r="I350" s="95">
        <v>30</v>
      </c>
      <c r="J350" s="95">
        <f t="shared" si="65"/>
        <v>9000</v>
      </c>
      <c r="K350" s="86">
        <f t="shared" si="66"/>
        <v>15000</v>
      </c>
      <c r="N350" s="108">
        <f t="shared" si="63"/>
        <v>15000</v>
      </c>
    </row>
    <row r="351" spans="2:14" ht="21.75" customHeight="1">
      <c r="B351" s="96" t="s">
        <v>478</v>
      </c>
      <c r="C351" s="100" t="s">
        <v>771</v>
      </c>
      <c r="D351" s="101"/>
      <c r="E351" s="93" t="s">
        <v>325</v>
      </c>
      <c r="F351" s="89">
        <v>1</v>
      </c>
      <c r="G351" s="86">
        <f>SUM(H347:H350)*0.8</f>
        <v>21484</v>
      </c>
      <c r="H351" s="94">
        <f t="shared" si="64"/>
        <v>21484</v>
      </c>
      <c r="I351" s="95">
        <f>G351*0.3</f>
        <v>6445.2</v>
      </c>
      <c r="J351" s="95">
        <f t="shared" si="65"/>
        <v>6445.2</v>
      </c>
      <c r="K351" s="86">
        <f t="shared" si="66"/>
        <v>27929.2</v>
      </c>
      <c r="N351" s="108">
        <f t="shared" si="63"/>
        <v>27929.2</v>
      </c>
    </row>
    <row r="352" spans="2:14" ht="21.75" customHeight="1">
      <c r="B352" s="96" t="s">
        <v>479</v>
      </c>
      <c r="C352" s="97" t="s">
        <v>880</v>
      </c>
      <c r="D352" s="98"/>
      <c r="E352" s="99" t="s">
        <v>252</v>
      </c>
      <c r="F352" s="94">
        <v>1</v>
      </c>
      <c r="G352" s="94">
        <v>637</v>
      </c>
      <c r="H352" s="94">
        <f t="shared" si="64"/>
        <v>637</v>
      </c>
      <c r="I352" s="94">
        <v>250</v>
      </c>
      <c r="J352" s="94">
        <f t="shared" si="65"/>
        <v>250</v>
      </c>
      <c r="K352" s="86">
        <f t="shared" si="66"/>
        <v>887</v>
      </c>
      <c r="N352" s="108">
        <f t="shared" si="63"/>
        <v>887</v>
      </c>
    </row>
    <row r="353" spans="2:14" ht="21.75" customHeight="1">
      <c r="B353" s="96" t="s">
        <v>480</v>
      </c>
      <c r="C353" s="97" t="s">
        <v>542</v>
      </c>
      <c r="D353" s="98"/>
      <c r="E353" s="99" t="s">
        <v>252</v>
      </c>
      <c r="F353" s="94">
        <v>2</v>
      </c>
      <c r="G353" s="94">
        <v>605</v>
      </c>
      <c r="H353" s="94">
        <f t="shared" si="64"/>
        <v>1210</v>
      </c>
      <c r="I353" s="94">
        <v>200</v>
      </c>
      <c r="J353" s="94">
        <f t="shared" si="65"/>
        <v>400</v>
      </c>
      <c r="K353" s="86">
        <f t="shared" si="66"/>
        <v>1610</v>
      </c>
      <c r="N353" s="108">
        <f t="shared" si="63"/>
        <v>1610</v>
      </c>
    </row>
    <row r="354" spans="2:14" ht="21.75" customHeight="1">
      <c r="B354" s="96" t="s">
        <v>481</v>
      </c>
      <c r="C354" s="97" t="s">
        <v>881</v>
      </c>
      <c r="D354" s="98"/>
      <c r="E354" s="99" t="s">
        <v>252</v>
      </c>
      <c r="F354" s="94">
        <v>2</v>
      </c>
      <c r="G354" s="94">
        <v>455</v>
      </c>
      <c r="H354" s="94">
        <f t="shared" si="64"/>
        <v>910</v>
      </c>
      <c r="I354" s="94">
        <v>150</v>
      </c>
      <c r="J354" s="94">
        <f t="shared" si="65"/>
        <v>300</v>
      </c>
      <c r="K354" s="86">
        <f t="shared" si="66"/>
        <v>1210</v>
      </c>
      <c r="N354" s="108">
        <f t="shared" si="63"/>
        <v>1210</v>
      </c>
    </row>
    <row r="355" spans="2:14" ht="21.75" customHeight="1">
      <c r="B355" s="70">
        <v>5</v>
      </c>
      <c r="C355" s="718" t="s">
        <v>322</v>
      </c>
      <c r="D355" s="719"/>
      <c r="E355" s="99"/>
      <c r="F355" s="94"/>
      <c r="G355" s="94"/>
      <c r="H355" s="94"/>
      <c r="I355" s="94"/>
      <c r="J355" s="94"/>
      <c r="K355" s="86"/>
      <c r="N355" s="108">
        <f t="shared" si="63"/>
        <v>0</v>
      </c>
    </row>
    <row r="356" spans="2:14" ht="21.75" customHeight="1">
      <c r="B356" s="96" t="s">
        <v>482</v>
      </c>
      <c r="C356" s="100" t="s">
        <v>543</v>
      </c>
      <c r="D356" s="101"/>
      <c r="E356" s="93" t="s">
        <v>274</v>
      </c>
      <c r="F356" s="89">
        <v>370</v>
      </c>
      <c r="G356" s="86">
        <v>146</v>
      </c>
      <c r="H356" s="94">
        <f aca="true" t="shared" si="67" ref="H356:H366">F356*G356</f>
        <v>54020</v>
      </c>
      <c r="I356" s="95">
        <v>100</v>
      </c>
      <c r="J356" s="95">
        <f aca="true" t="shared" si="68" ref="J356:J366">F356*I356</f>
        <v>37000</v>
      </c>
      <c r="K356" s="86">
        <f aca="true" t="shared" si="69" ref="K356:K366">F356*(G356+I356)</f>
        <v>91020</v>
      </c>
      <c r="N356" s="108">
        <f t="shared" si="63"/>
        <v>91020</v>
      </c>
    </row>
    <row r="357" spans="2:14" ht="21.75" customHeight="1">
      <c r="B357" s="96" t="s">
        <v>483</v>
      </c>
      <c r="C357" s="100" t="s">
        <v>544</v>
      </c>
      <c r="D357" s="101"/>
      <c r="E357" s="93" t="s">
        <v>274</v>
      </c>
      <c r="F357" s="89">
        <v>45</v>
      </c>
      <c r="G357" s="86">
        <v>90</v>
      </c>
      <c r="H357" s="94">
        <f t="shared" si="67"/>
        <v>4050</v>
      </c>
      <c r="I357" s="95">
        <v>75</v>
      </c>
      <c r="J357" s="95">
        <f t="shared" si="68"/>
        <v>3375</v>
      </c>
      <c r="K357" s="86">
        <f t="shared" si="69"/>
        <v>7425</v>
      </c>
      <c r="N357" s="108">
        <f t="shared" si="63"/>
        <v>7425</v>
      </c>
    </row>
    <row r="358" spans="2:14" ht="21.75" customHeight="1">
      <c r="B358" s="96" t="s">
        <v>484</v>
      </c>
      <c r="C358" s="100" t="s">
        <v>545</v>
      </c>
      <c r="D358" s="101"/>
      <c r="E358" s="93" t="s">
        <v>274</v>
      </c>
      <c r="F358" s="89">
        <v>55</v>
      </c>
      <c r="G358" s="86">
        <v>41</v>
      </c>
      <c r="H358" s="94">
        <f t="shared" si="67"/>
        <v>2255</v>
      </c>
      <c r="I358" s="95">
        <v>40</v>
      </c>
      <c r="J358" s="95">
        <f t="shared" si="68"/>
        <v>2200</v>
      </c>
      <c r="K358" s="86">
        <f t="shared" si="69"/>
        <v>4455</v>
      </c>
      <c r="N358" s="108">
        <f t="shared" si="63"/>
        <v>4455</v>
      </c>
    </row>
    <row r="359" spans="2:14" ht="21.75" customHeight="1">
      <c r="B359" s="96" t="s">
        <v>485</v>
      </c>
      <c r="C359" s="100" t="s">
        <v>771</v>
      </c>
      <c r="D359" s="101"/>
      <c r="E359" s="93" t="s">
        <v>325</v>
      </c>
      <c r="F359" s="89">
        <v>1</v>
      </c>
      <c r="G359" s="86">
        <f>SUM(H356:H358)*0.8</f>
        <v>48260</v>
      </c>
      <c r="H359" s="94">
        <f t="shared" si="67"/>
        <v>48260</v>
      </c>
      <c r="I359" s="95">
        <f>G359*0.3</f>
        <v>14478</v>
      </c>
      <c r="J359" s="95">
        <f t="shared" si="68"/>
        <v>14478</v>
      </c>
      <c r="K359" s="86">
        <f t="shared" si="69"/>
        <v>62738</v>
      </c>
      <c r="N359" s="108">
        <f t="shared" si="63"/>
        <v>62738</v>
      </c>
    </row>
    <row r="360" spans="2:14" ht="21.75" customHeight="1">
      <c r="B360" s="96" t="s">
        <v>486</v>
      </c>
      <c r="C360" s="100" t="s">
        <v>546</v>
      </c>
      <c r="D360" s="101"/>
      <c r="E360" s="93" t="s">
        <v>252</v>
      </c>
      <c r="F360" s="89">
        <v>31</v>
      </c>
      <c r="G360" s="86">
        <v>605</v>
      </c>
      <c r="H360" s="94">
        <f t="shared" si="67"/>
        <v>18755</v>
      </c>
      <c r="I360" s="95">
        <v>400</v>
      </c>
      <c r="J360" s="95">
        <f t="shared" si="68"/>
        <v>12400</v>
      </c>
      <c r="K360" s="86">
        <f t="shared" si="69"/>
        <v>31155</v>
      </c>
      <c r="N360" s="108">
        <f t="shared" si="63"/>
        <v>31155</v>
      </c>
    </row>
    <row r="361" spans="2:14" ht="21.75" customHeight="1">
      <c r="B361" s="96" t="s">
        <v>487</v>
      </c>
      <c r="C361" s="100" t="s">
        <v>547</v>
      </c>
      <c r="D361" s="101"/>
      <c r="E361" s="93" t="s">
        <v>252</v>
      </c>
      <c r="F361" s="89">
        <v>36</v>
      </c>
      <c r="G361" s="86">
        <v>595</v>
      </c>
      <c r="H361" s="94">
        <f t="shared" si="67"/>
        <v>21420</v>
      </c>
      <c r="I361" s="95">
        <v>300</v>
      </c>
      <c r="J361" s="95">
        <f t="shared" si="68"/>
        <v>10800</v>
      </c>
      <c r="K361" s="86">
        <f t="shared" si="69"/>
        <v>32220</v>
      </c>
      <c r="N361" s="108">
        <f t="shared" si="63"/>
        <v>32220</v>
      </c>
    </row>
    <row r="362" spans="2:14" ht="21.75" customHeight="1">
      <c r="B362" s="96" t="s">
        <v>488</v>
      </c>
      <c r="C362" s="100" t="s">
        <v>548</v>
      </c>
      <c r="D362" s="101"/>
      <c r="E362" s="93" t="s">
        <v>252</v>
      </c>
      <c r="F362" s="89">
        <v>10</v>
      </c>
      <c r="G362" s="86">
        <v>560</v>
      </c>
      <c r="H362" s="94">
        <f t="shared" si="67"/>
        <v>5600</v>
      </c>
      <c r="I362" s="95">
        <v>200</v>
      </c>
      <c r="J362" s="95">
        <f t="shared" si="68"/>
        <v>2000</v>
      </c>
      <c r="K362" s="86">
        <f t="shared" si="69"/>
        <v>7600</v>
      </c>
      <c r="N362" s="108">
        <f t="shared" si="63"/>
        <v>7600</v>
      </c>
    </row>
    <row r="363" spans="2:14" ht="21.75" customHeight="1">
      <c r="B363" s="96" t="s">
        <v>489</v>
      </c>
      <c r="C363" s="100" t="s">
        <v>549</v>
      </c>
      <c r="D363" s="101"/>
      <c r="E363" s="93" t="s">
        <v>252</v>
      </c>
      <c r="F363" s="89">
        <v>2</v>
      </c>
      <c r="G363" s="86">
        <v>240</v>
      </c>
      <c r="H363" s="94">
        <f t="shared" si="67"/>
        <v>480</v>
      </c>
      <c r="I363" s="95">
        <v>200</v>
      </c>
      <c r="J363" s="95">
        <f t="shared" si="68"/>
        <v>400</v>
      </c>
      <c r="K363" s="86">
        <f t="shared" si="69"/>
        <v>880</v>
      </c>
      <c r="N363" s="108">
        <f t="shared" si="63"/>
        <v>880</v>
      </c>
    </row>
    <row r="364" spans="2:14" ht="21.75" customHeight="1">
      <c r="B364" s="96" t="s">
        <v>490</v>
      </c>
      <c r="C364" s="100" t="s">
        <v>522</v>
      </c>
      <c r="D364" s="101"/>
      <c r="E364" s="93" t="s">
        <v>272</v>
      </c>
      <c r="F364" s="89">
        <v>13</v>
      </c>
      <c r="G364" s="86">
        <v>800</v>
      </c>
      <c r="H364" s="94">
        <f t="shared" si="67"/>
        <v>10400</v>
      </c>
      <c r="I364" s="95">
        <v>200</v>
      </c>
      <c r="J364" s="95">
        <f t="shared" si="68"/>
        <v>2600</v>
      </c>
      <c r="K364" s="86">
        <f t="shared" si="69"/>
        <v>13000</v>
      </c>
      <c r="N364" s="108">
        <f t="shared" si="63"/>
        <v>13000</v>
      </c>
    </row>
    <row r="365" spans="2:14" ht="21.75" customHeight="1">
      <c r="B365" s="96" t="s">
        <v>491</v>
      </c>
      <c r="C365" s="100" t="s">
        <v>528</v>
      </c>
      <c r="D365" s="101"/>
      <c r="E365" s="93" t="s">
        <v>272</v>
      </c>
      <c r="F365" s="89">
        <v>2</v>
      </c>
      <c r="G365" s="86">
        <v>600</v>
      </c>
      <c r="H365" s="94">
        <f t="shared" si="67"/>
        <v>1200</v>
      </c>
      <c r="I365" s="95">
        <v>150</v>
      </c>
      <c r="J365" s="95">
        <f t="shared" si="68"/>
        <v>300</v>
      </c>
      <c r="K365" s="86">
        <f t="shared" si="69"/>
        <v>1500</v>
      </c>
      <c r="N365" s="108">
        <f t="shared" si="63"/>
        <v>1500</v>
      </c>
    </row>
    <row r="366" spans="2:14" ht="21.75" customHeight="1">
      <c r="B366" s="96" t="s">
        <v>492</v>
      </c>
      <c r="C366" s="102" t="s">
        <v>550</v>
      </c>
      <c r="D366" s="102"/>
      <c r="E366" s="99" t="s">
        <v>274</v>
      </c>
      <c r="F366" s="94">
        <v>220</v>
      </c>
      <c r="G366" s="94">
        <v>1950</v>
      </c>
      <c r="H366" s="94">
        <f t="shared" si="67"/>
        <v>429000</v>
      </c>
      <c r="I366" s="94">
        <v>700</v>
      </c>
      <c r="J366" s="94">
        <f t="shared" si="68"/>
        <v>154000</v>
      </c>
      <c r="K366" s="86">
        <f t="shared" si="69"/>
        <v>583000</v>
      </c>
      <c r="N366" s="108">
        <f t="shared" si="63"/>
        <v>583000</v>
      </c>
    </row>
    <row r="367" spans="2:14" ht="21.75" customHeight="1">
      <c r="B367" s="70">
        <v>6</v>
      </c>
      <c r="C367" s="704" t="s">
        <v>537</v>
      </c>
      <c r="D367" s="705"/>
      <c r="E367" s="82"/>
      <c r="F367" s="170"/>
      <c r="G367" s="171"/>
      <c r="H367" s="94"/>
      <c r="I367" s="94"/>
      <c r="J367" s="94"/>
      <c r="K367" s="86"/>
      <c r="N367" s="108">
        <f t="shared" si="63"/>
        <v>0</v>
      </c>
    </row>
    <row r="368" spans="2:14" ht="21.75" customHeight="1">
      <c r="B368" s="103">
        <v>6.1</v>
      </c>
      <c r="C368" s="97" t="s">
        <v>531</v>
      </c>
      <c r="D368" s="104"/>
      <c r="E368" s="99" t="s">
        <v>252</v>
      </c>
      <c r="F368" s="94">
        <v>1</v>
      </c>
      <c r="G368" s="94">
        <v>15623</v>
      </c>
      <c r="H368" s="94">
        <f>F368*G368</f>
        <v>15623</v>
      </c>
      <c r="I368" s="94">
        <v>360</v>
      </c>
      <c r="J368" s="94">
        <f>F368*I368</f>
        <v>360</v>
      </c>
      <c r="K368" s="86">
        <f>F368*(G368+I368)</f>
        <v>15983</v>
      </c>
      <c r="N368" s="108">
        <f t="shared" si="63"/>
        <v>15983</v>
      </c>
    </row>
    <row r="369" spans="2:14" ht="21.75" customHeight="1">
      <c r="B369" s="103">
        <v>6.2</v>
      </c>
      <c r="C369" s="97" t="s">
        <v>554</v>
      </c>
      <c r="D369" s="104"/>
      <c r="E369" s="99" t="s">
        <v>252</v>
      </c>
      <c r="F369" s="94">
        <v>2</v>
      </c>
      <c r="G369" s="94">
        <v>4500</v>
      </c>
      <c r="H369" s="94">
        <f>F369*G369</f>
        <v>9000</v>
      </c>
      <c r="I369" s="94">
        <v>150</v>
      </c>
      <c r="J369" s="94">
        <f>F369*I369</f>
        <v>300</v>
      </c>
      <c r="K369" s="86">
        <f>F369*(G369+I369)</f>
        <v>9300</v>
      </c>
      <c r="N369" s="108">
        <f t="shared" si="63"/>
        <v>9300</v>
      </c>
    </row>
    <row r="370" spans="2:14" ht="21.75" customHeight="1">
      <c r="B370" s="103">
        <v>6.3</v>
      </c>
      <c r="C370" s="97" t="s">
        <v>160</v>
      </c>
      <c r="D370" s="104"/>
      <c r="E370" s="99" t="s">
        <v>326</v>
      </c>
      <c r="F370" s="94">
        <v>2</v>
      </c>
      <c r="G370" s="94">
        <v>57750</v>
      </c>
      <c r="H370" s="94">
        <f>F370*G370</f>
        <v>115500</v>
      </c>
      <c r="I370" s="94">
        <v>7000</v>
      </c>
      <c r="J370" s="94">
        <f>F370*I370</f>
        <v>14000</v>
      </c>
      <c r="K370" s="86">
        <f>F370*(G370+I370)</f>
        <v>129500</v>
      </c>
      <c r="N370" s="108">
        <f t="shared" si="63"/>
        <v>129500</v>
      </c>
    </row>
    <row r="371" spans="2:14" ht="21.75" customHeight="1">
      <c r="B371" s="103"/>
      <c r="C371" s="97" t="s">
        <v>161</v>
      </c>
      <c r="D371" s="104"/>
      <c r="E371" s="99"/>
      <c r="F371" s="94"/>
      <c r="G371" s="94"/>
      <c r="H371" s="94"/>
      <c r="I371" s="94"/>
      <c r="J371" s="94"/>
      <c r="K371" s="86"/>
      <c r="N371" s="108">
        <f t="shared" si="63"/>
        <v>0</v>
      </c>
    </row>
    <row r="372" spans="2:14" ht="21.75" customHeight="1">
      <c r="B372" s="103"/>
      <c r="C372" s="97" t="s">
        <v>555</v>
      </c>
      <c r="D372" s="104"/>
      <c r="E372" s="99"/>
      <c r="F372" s="94"/>
      <c r="G372" s="94"/>
      <c r="H372" s="94"/>
      <c r="I372" s="94"/>
      <c r="J372" s="94"/>
      <c r="K372" s="86"/>
      <c r="N372" s="108">
        <f t="shared" si="63"/>
        <v>0</v>
      </c>
    </row>
    <row r="373" spans="2:14" ht="21.75" customHeight="1">
      <c r="B373" s="103"/>
      <c r="C373" s="97" t="s">
        <v>556</v>
      </c>
      <c r="D373" s="104"/>
      <c r="E373" s="99" t="s">
        <v>252</v>
      </c>
      <c r="F373" s="94">
        <v>4</v>
      </c>
      <c r="G373" s="94">
        <v>1850</v>
      </c>
      <c r="H373" s="94">
        <f>F373*G373</f>
        <v>7400</v>
      </c>
      <c r="I373" s="94">
        <v>150</v>
      </c>
      <c r="J373" s="94">
        <f>F373*I373</f>
        <v>600</v>
      </c>
      <c r="K373" s="86">
        <f>F373*(G373+I373)</f>
        <v>8000</v>
      </c>
      <c r="N373" s="108">
        <f t="shared" si="63"/>
        <v>8000</v>
      </c>
    </row>
    <row r="374" spans="2:14" ht="21.75" customHeight="1">
      <c r="B374" s="103"/>
      <c r="C374" s="97" t="s">
        <v>557</v>
      </c>
      <c r="D374" s="104"/>
      <c r="E374" s="99" t="s">
        <v>252</v>
      </c>
      <c r="F374" s="94">
        <v>1</v>
      </c>
      <c r="G374" s="94">
        <v>40000</v>
      </c>
      <c r="H374" s="94">
        <f>F374*G374</f>
        <v>40000</v>
      </c>
      <c r="I374" s="94">
        <v>3000</v>
      </c>
      <c r="J374" s="94">
        <f>F374*I374</f>
        <v>3000</v>
      </c>
      <c r="K374" s="86">
        <f>F374*(G374+I374)</f>
        <v>43000</v>
      </c>
      <c r="N374" s="108">
        <f t="shared" si="63"/>
        <v>43000</v>
      </c>
    </row>
    <row r="375" spans="2:14" ht="21.75" customHeight="1">
      <c r="B375" s="103"/>
      <c r="C375" s="97" t="s">
        <v>558</v>
      </c>
      <c r="D375" s="104"/>
      <c r="E375" s="99" t="s">
        <v>327</v>
      </c>
      <c r="F375" s="94">
        <v>2</v>
      </c>
      <c r="G375" s="94">
        <v>6500</v>
      </c>
      <c r="H375" s="94">
        <f>F375*G375</f>
        <v>13000</v>
      </c>
      <c r="I375" s="94">
        <v>1000</v>
      </c>
      <c r="J375" s="94">
        <f>F375*I375</f>
        <v>2000</v>
      </c>
      <c r="K375" s="86">
        <f>F375*(G375+I375)</f>
        <v>15000</v>
      </c>
      <c r="N375" s="108">
        <f t="shared" si="63"/>
        <v>15000</v>
      </c>
    </row>
    <row r="376" spans="2:14" ht="21.75" customHeight="1">
      <c r="B376" s="172">
        <v>7</v>
      </c>
      <c r="C376" s="718" t="s">
        <v>559</v>
      </c>
      <c r="D376" s="719"/>
      <c r="E376" s="99"/>
      <c r="F376" s="94"/>
      <c r="G376" s="94"/>
      <c r="H376" s="94"/>
      <c r="I376" s="94"/>
      <c r="J376" s="94"/>
      <c r="K376" s="86"/>
      <c r="N376" s="108">
        <f t="shared" si="63"/>
        <v>0</v>
      </c>
    </row>
    <row r="377" spans="2:14" ht="21.75" customHeight="1">
      <c r="B377" s="105">
        <v>7.1</v>
      </c>
      <c r="C377" s="107" t="s">
        <v>560</v>
      </c>
      <c r="D377" s="54"/>
      <c r="E377" s="99"/>
      <c r="F377" s="94"/>
      <c r="G377" s="94"/>
      <c r="H377" s="94"/>
      <c r="I377" s="94"/>
      <c r="J377" s="94"/>
      <c r="K377" s="86"/>
      <c r="N377" s="108">
        <f t="shared" si="63"/>
        <v>0</v>
      </c>
    </row>
    <row r="378" spans="2:14" ht="21.75" customHeight="1">
      <c r="B378" s="105"/>
      <c r="C378" s="54" t="s">
        <v>538</v>
      </c>
      <c r="D378" s="54"/>
      <c r="E378" s="99" t="s">
        <v>252</v>
      </c>
      <c r="F378" s="94">
        <v>1</v>
      </c>
      <c r="G378" s="94">
        <v>396000</v>
      </c>
      <c r="H378" s="94">
        <f>F378*G378</f>
        <v>396000</v>
      </c>
      <c r="I378" s="94">
        <v>71400</v>
      </c>
      <c r="J378" s="94">
        <f>F378*I378</f>
        <v>71400</v>
      </c>
      <c r="K378" s="86">
        <f>F378*(G378+I378)</f>
        <v>467400</v>
      </c>
      <c r="N378" s="108">
        <f t="shared" si="63"/>
        <v>467400</v>
      </c>
    </row>
    <row r="379" spans="2:14" ht="21.75" customHeight="1">
      <c r="B379" s="105"/>
      <c r="C379" s="54" t="s">
        <v>539</v>
      </c>
      <c r="D379" s="54"/>
      <c r="E379" s="99" t="s">
        <v>252</v>
      </c>
      <c r="F379" s="94">
        <v>1</v>
      </c>
      <c r="G379" s="94">
        <v>153400</v>
      </c>
      <c r="H379" s="94">
        <f>F379*G379</f>
        <v>153400</v>
      </c>
      <c r="I379" s="94">
        <v>32000</v>
      </c>
      <c r="J379" s="94">
        <f>F379*I379</f>
        <v>32000</v>
      </c>
      <c r="K379" s="86">
        <f>F379*(G379+I379)</f>
        <v>185400</v>
      </c>
      <c r="N379" s="108">
        <f t="shared" si="63"/>
        <v>185400</v>
      </c>
    </row>
    <row r="380" spans="2:14" ht="21.75" customHeight="1">
      <c r="B380" s="105"/>
      <c r="C380" s="54" t="s">
        <v>540</v>
      </c>
      <c r="D380" s="54"/>
      <c r="E380" s="99" t="s">
        <v>252</v>
      </c>
      <c r="F380" s="94">
        <v>1</v>
      </c>
      <c r="G380" s="94">
        <v>59800</v>
      </c>
      <c r="H380" s="94">
        <f>F380*G380</f>
        <v>59800</v>
      </c>
      <c r="I380" s="94">
        <v>16800</v>
      </c>
      <c r="J380" s="94">
        <f>F380*I380</f>
        <v>16800</v>
      </c>
      <c r="K380" s="86">
        <f>F380*(G380+I380)</f>
        <v>76600</v>
      </c>
      <c r="N380" s="108">
        <f t="shared" si="63"/>
        <v>76600</v>
      </c>
    </row>
    <row r="381" spans="2:14" ht="21.75" customHeight="1">
      <c r="B381" s="105"/>
      <c r="C381" s="54" t="s">
        <v>541</v>
      </c>
      <c r="D381" s="54"/>
      <c r="E381" s="99" t="s">
        <v>252</v>
      </c>
      <c r="F381" s="94">
        <v>1</v>
      </c>
      <c r="G381" s="94">
        <v>25350</v>
      </c>
      <c r="H381" s="94">
        <f>F381*G381</f>
        <v>25350</v>
      </c>
      <c r="I381" s="94">
        <v>3700</v>
      </c>
      <c r="J381" s="94">
        <f>F381*I381</f>
        <v>3700</v>
      </c>
      <c r="K381" s="86">
        <f>F381*(G381+I381)</f>
        <v>29050</v>
      </c>
      <c r="N381" s="108">
        <f t="shared" si="63"/>
        <v>29050</v>
      </c>
    </row>
    <row r="382" spans="2:14" ht="21.75" customHeight="1">
      <c r="B382" s="70">
        <v>8</v>
      </c>
      <c r="C382" s="179" t="s">
        <v>551</v>
      </c>
      <c r="D382" s="54"/>
      <c r="E382" s="99"/>
      <c r="F382" s="94"/>
      <c r="G382" s="94"/>
      <c r="H382" s="94"/>
      <c r="I382" s="94"/>
      <c r="J382" s="94"/>
      <c r="K382" s="86"/>
      <c r="N382" s="108">
        <f t="shared" si="63"/>
        <v>0</v>
      </c>
    </row>
    <row r="383" spans="2:14" ht="21.75" customHeight="1">
      <c r="B383" s="52"/>
      <c r="C383" s="107" t="s">
        <v>552</v>
      </c>
      <c r="D383" s="107"/>
      <c r="E383" s="99" t="s">
        <v>274</v>
      </c>
      <c r="F383" s="94">
        <v>36</v>
      </c>
      <c r="G383" s="94">
        <v>737</v>
      </c>
      <c r="H383" s="94">
        <f>F383*G383</f>
        <v>26532</v>
      </c>
      <c r="I383" s="95">
        <v>280</v>
      </c>
      <c r="J383" s="95">
        <f aca="true" t="shared" si="70" ref="J383:J390">F383*I383</f>
        <v>10080</v>
      </c>
      <c r="K383" s="86">
        <f>F383*(G383+I383)</f>
        <v>36612</v>
      </c>
      <c r="N383" s="108">
        <f t="shared" si="63"/>
        <v>36612</v>
      </c>
    </row>
    <row r="384" spans="2:14" ht="21.75" customHeight="1">
      <c r="B384" s="52"/>
      <c r="C384" s="107" t="s">
        <v>553</v>
      </c>
      <c r="D384" s="107"/>
      <c r="E384" s="99" t="s">
        <v>274</v>
      </c>
      <c r="F384" s="94">
        <v>12</v>
      </c>
      <c r="G384" s="94">
        <v>395</v>
      </c>
      <c r="H384" s="94">
        <f aca="true" t="shared" si="71" ref="H384:H389">F384*G384</f>
        <v>4740</v>
      </c>
      <c r="I384" s="95">
        <v>150</v>
      </c>
      <c r="J384" s="95">
        <f t="shared" si="70"/>
        <v>1800</v>
      </c>
      <c r="K384" s="86">
        <f aca="true" t="shared" si="72" ref="K384:K389">F384*(G384+I384)</f>
        <v>6540</v>
      </c>
      <c r="N384" s="108">
        <f t="shared" si="63"/>
        <v>6540</v>
      </c>
    </row>
    <row r="385" spans="2:14" ht="21.75" customHeight="1">
      <c r="B385" s="52"/>
      <c r="C385" s="100" t="s">
        <v>782</v>
      </c>
      <c r="D385" s="101"/>
      <c r="E385" s="93" t="s">
        <v>325</v>
      </c>
      <c r="F385" s="89">
        <v>1</v>
      </c>
      <c r="G385" s="86">
        <f>SUM(H383:H384)*1</f>
        <v>31272</v>
      </c>
      <c r="H385" s="94">
        <f t="shared" si="71"/>
        <v>31272</v>
      </c>
      <c r="I385" s="95">
        <f>G385*0.3</f>
        <v>9381.6</v>
      </c>
      <c r="J385" s="95">
        <f t="shared" si="70"/>
        <v>9381.6</v>
      </c>
      <c r="K385" s="86">
        <f t="shared" si="72"/>
        <v>40653.6</v>
      </c>
      <c r="N385" s="108">
        <f t="shared" si="63"/>
        <v>40653.6</v>
      </c>
    </row>
    <row r="386" spans="2:14" ht="21.75" customHeight="1">
      <c r="B386" s="52">
        <v>8.1</v>
      </c>
      <c r="C386" s="107" t="s">
        <v>532</v>
      </c>
      <c r="D386" s="54"/>
      <c r="E386" s="99" t="s">
        <v>252</v>
      </c>
      <c r="F386" s="94">
        <v>1</v>
      </c>
      <c r="G386" s="94">
        <v>8424</v>
      </c>
      <c r="H386" s="94">
        <f t="shared" si="71"/>
        <v>8424</v>
      </c>
      <c r="I386" s="94">
        <v>800</v>
      </c>
      <c r="J386" s="94">
        <f t="shared" si="70"/>
        <v>800</v>
      </c>
      <c r="K386" s="86">
        <f t="shared" si="72"/>
        <v>9224</v>
      </c>
      <c r="N386" s="108">
        <f t="shared" si="63"/>
        <v>9224</v>
      </c>
    </row>
    <row r="387" spans="2:14" ht="21.75" customHeight="1">
      <c r="B387" s="52">
        <v>8.2</v>
      </c>
      <c r="C387" s="107" t="s">
        <v>533</v>
      </c>
      <c r="D387" s="54"/>
      <c r="E387" s="99" t="s">
        <v>252</v>
      </c>
      <c r="F387" s="94">
        <v>2</v>
      </c>
      <c r="G387" s="94">
        <v>7735</v>
      </c>
      <c r="H387" s="94">
        <f t="shared" si="71"/>
        <v>15470</v>
      </c>
      <c r="I387" s="94">
        <v>800</v>
      </c>
      <c r="J387" s="94">
        <f t="shared" si="70"/>
        <v>1600</v>
      </c>
      <c r="K387" s="86">
        <f t="shared" si="72"/>
        <v>17070</v>
      </c>
      <c r="N387" s="108">
        <f t="shared" si="63"/>
        <v>17070</v>
      </c>
    </row>
    <row r="388" spans="2:14" ht="21.75" customHeight="1">
      <c r="B388" s="52">
        <v>8.3</v>
      </c>
      <c r="C388" s="107" t="s">
        <v>781</v>
      </c>
      <c r="D388" s="54"/>
      <c r="E388" s="99" t="s">
        <v>252</v>
      </c>
      <c r="F388" s="94">
        <v>1</v>
      </c>
      <c r="G388" s="94">
        <v>260</v>
      </c>
      <c r="H388" s="94">
        <f t="shared" si="71"/>
        <v>260</v>
      </c>
      <c r="I388" s="94">
        <v>100</v>
      </c>
      <c r="J388" s="94">
        <f t="shared" si="70"/>
        <v>100</v>
      </c>
      <c r="K388" s="86">
        <f t="shared" si="72"/>
        <v>360</v>
      </c>
      <c r="N388" s="108">
        <f t="shared" si="63"/>
        <v>360</v>
      </c>
    </row>
    <row r="389" spans="2:14" ht="21.75" customHeight="1">
      <c r="B389" s="52">
        <v>8.4</v>
      </c>
      <c r="C389" s="107" t="s">
        <v>534</v>
      </c>
      <c r="D389" s="54"/>
      <c r="E389" s="99" t="s">
        <v>252</v>
      </c>
      <c r="F389" s="94">
        <v>1</v>
      </c>
      <c r="G389" s="94">
        <v>2665</v>
      </c>
      <c r="H389" s="94">
        <f t="shared" si="71"/>
        <v>2665</v>
      </c>
      <c r="I389" s="94">
        <v>100</v>
      </c>
      <c r="J389" s="94">
        <f t="shared" si="70"/>
        <v>100</v>
      </c>
      <c r="K389" s="86">
        <f t="shared" si="72"/>
        <v>2765</v>
      </c>
      <c r="N389" s="108">
        <f t="shared" si="63"/>
        <v>2765</v>
      </c>
    </row>
    <row r="390" spans="2:14" ht="21.75" customHeight="1">
      <c r="B390" s="52">
        <v>8.5</v>
      </c>
      <c r="C390" s="107" t="s">
        <v>535</v>
      </c>
      <c r="D390" s="54"/>
      <c r="E390" s="99" t="s">
        <v>252</v>
      </c>
      <c r="F390" s="94">
        <v>1</v>
      </c>
      <c r="G390" s="94">
        <v>11050</v>
      </c>
      <c r="H390" s="94">
        <f>F390*G390</f>
        <v>11050</v>
      </c>
      <c r="I390" s="94">
        <v>800</v>
      </c>
      <c r="J390" s="94">
        <f t="shared" si="70"/>
        <v>800</v>
      </c>
      <c r="K390" s="86">
        <f>F390*(G390+I390)</f>
        <v>11850</v>
      </c>
      <c r="N390" s="108">
        <f t="shared" si="63"/>
        <v>11850</v>
      </c>
    </row>
    <row r="391" spans="2:14" ht="21.75" customHeight="1">
      <c r="B391" s="105">
        <v>8.6</v>
      </c>
      <c r="C391" s="107" t="s">
        <v>324</v>
      </c>
      <c r="D391" s="54"/>
      <c r="E391" s="99" t="s">
        <v>326</v>
      </c>
      <c r="F391" s="94">
        <v>16</v>
      </c>
      <c r="G391" s="94">
        <v>1589</v>
      </c>
      <c r="H391" s="94">
        <f>F391*G391</f>
        <v>25424</v>
      </c>
      <c r="I391" s="94">
        <v>200</v>
      </c>
      <c r="J391" s="94">
        <f>F391*I391</f>
        <v>3200</v>
      </c>
      <c r="K391" s="86">
        <f>F391*(G391+I391)</f>
        <v>28624</v>
      </c>
      <c r="N391" s="108">
        <f t="shared" si="63"/>
        <v>28624</v>
      </c>
    </row>
    <row r="392" spans="2:14" ht="21.75" customHeight="1">
      <c r="B392" s="105">
        <v>8.7</v>
      </c>
      <c r="C392" s="107" t="s">
        <v>536</v>
      </c>
      <c r="D392" s="54"/>
      <c r="E392" s="99" t="s">
        <v>328</v>
      </c>
      <c r="F392" s="94">
        <v>4</v>
      </c>
      <c r="G392" s="94">
        <v>18800</v>
      </c>
      <c r="H392" s="94">
        <f>F392*G392</f>
        <v>75200</v>
      </c>
      <c r="I392" s="94">
        <v>1000</v>
      </c>
      <c r="J392" s="94">
        <f>F392*I392</f>
        <v>4000</v>
      </c>
      <c r="K392" s="86">
        <f>F392*(G392+I392)</f>
        <v>79200</v>
      </c>
      <c r="N392" s="108">
        <f t="shared" si="63"/>
        <v>79200</v>
      </c>
    </row>
    <row r="393" spans="2:14" ht="21.75" customHeight="1">
      <c r="B393" s="105"/>
      <c r="C393" s="107"/>
      <c r="D393" s="54"/>
      <c r="E393" s="99"/>
      <c r="F393" s="94"/>
      <c r="G393" s="94"/>
      <c r="H393" s="94"/>
      <c r="I393" s="94"/>
      <c r="J393" s="94"/>
      <c r="K393" s="86"/>
      <c r="N393" s="108">
        <f t="shared" si="63"/>
        <v>0</v>
      </c>
    </row>
    <row r="394" spans="2:14" ht="21.75" customHeight="1">
      <c r="B394" s="106"/>
      <c r="C394" s="702" t="s">
        <v>234</v>
      </c>
      <c r="D394" s="703"/>
      <c r="E394" s="75"/>
      <c r="F394" s="71"/>
      <c r="G394" s="71"/>
      <c r="H394" s="71">
        <f>SUM(H298:H393)</f>
        <v>2507407</v>
      </c>
      <c r="I394" s="71"/>
      <c r="J394" s="71">
        <f>SUM(J298:J393)</f>
        <v>766519.6</v>
      </c>
      <c r="K394" s="71">
        <f>SUM(K298:K393)</f>
        <v>3273926.6</v>
      </c>
      <c r="L394" s="108"/>
      <c r="M394" s="65">
        <f>SUM(H394,J394)</f>
        <v>3273926.6</v>
      </c>
      <c r="N394" s="108">
        <f t="shared" si="63"/>
        <v>0</v>
      </c>
    </row>
    <row r="395" spans="2:14" ht="21.75" customHeight="1">
      <c r="B395" s="106"/>
      <c r="C395" s="72"/>
      <c r="D395" s="72"/>
      <c r="E395" s="75"/>
      <c r="F395" s="71"/>
      <c r="G395" s="71"/>
      <c r="H395" s="71"/>
      <c r="I395" s="71"/>
      <c r="J395" s="71"/>
      <c r="K395" s="71"/>
      <c r="L395" s="108"/>
      <c r="M395" s="65"/>
      <c r="N395" s="108"/>
    </row>
    <row r="396" spans="2:14" ht="21.75" customHeight="1">
      <c r="B396" s="106"/>
      <c r="C396" s="72"/>
      <c r="D396" s="72"/>
      <c r="E396" s="75"/>
      <c r="F396" s="71"/>
      <c r="G396" s="71"/>
      <c r="H396" s="71"/>
      <c r="I396" s="71"/>
      <c r="J396" s="71"/>
      <c r="K396" s="71"/>
      <c r="L396" s="108"/>
      <c r="M396" s="65"/>
      <c r="N396" s="108"/>
    </row>
    <row r="397" spans="2:14" ht="21.75" customHeight="1">
      <c r="B397" s="51"/>
      <c r="C397" s="179" t="s">
        <v>692</v>
      </c>
      <c r="D397" s="72"/>
      <c r="E397" s="70"/>
      <c r="F397" s="71"/>
      <c r="G397" s="71"/>
      <c r="H397" s="71"/>
      <c r="I397" s="71"/>
      <c r="J397" s="71"/>
      <c r="K397" s="71"/>
      <c r="N397" s="108">
        <f aca="true" t="shared" si="73" ref="N397:N455">(G397+I397)*F397</f>
        <v>0</v>
      </c>
    </row>
    <row r="398" spans="2:14" ht="21.75" customHeight="1">
      <c r="B398" s="51"/>
      <c r="C398" s="704" t="s">
        <v>691</v>
      </c>
      <c r="D398" s="705"/>
      <c r="E398" s="51"/>
      <c r="F398" s="53"/>
      <c r="G398" s="53"/>
      <c r="H398" s="53"/>
      <c r="I398" s="53"/>
      <c r="J398" s="53"/>
      <c r="K398" s="53"/>
      <c r="N398" s="108">
        <f t="shared" si="73"/>
        <v>0</v>
      </c>
    </row>
    <row r="399" spans="2:14" ht="21.75" customHeight="1">
      <c r="B399" s="76">
        <v>1</v>
      </c>
      <c r="C399" s="66" t="s">
        <v>287</v>
      </c>
      <c r="D399" s="125"/>
      <c r="E399" s="77"/>
      <c r="F399" s="76"/>
      <c r="G399" s="77"/>
      <c r="H399" s="63"/>
      <c r="I399" s="77"/>
      <c r="J399" s="63"/>
      <c r="K399" s="63"/>
      <c r="N399" s="108">
        <f t="shared" si="73"/>
        <v>0</v>
      </c>
    </row>
    <row r="400" spans="2:14" ht="21.75" customHeight="1">
      <c r="B400" s="78"/>
      <c r="C400" s="66" t="s">
        <v>821</v>
      </c>
      <c r="D400" s="125"/>
      <c r="E400" s="88" t="s">
        <v>252</v>
      </c>
      <c r="F400" s="74">
        <v>18</v>
      </c>
      <c r="G400" s="86">
        <v>565</v>
      </c>
      <c r="H400" s="80">
        <f>F400*G400</f>
        <v>10170</v>
      </c>
      <c r="I400" s="86">
        <v>115</v>
      </c>
      <c r="J400" s="63">
        <f>F400*I400</f>
        <v>2070</v>
      </c>
      <c r="K400" s="63">
        <f>H400+J400</f>
        <v>12240</v>
      </c>
      <c r="N400" s="108">
        <f t="shared" si="73"/>
        <v>12240</v>
      </c>
    </row>
    <row r="401" spans="2:14" ht="21.75" customHeight="1">
      <c r="B401" s="78"/>
      <c r="C401" s="66" t="s">
        <v>822</v>
      </c>
      <c r="D401" s="125"/>
      <c r="E401" s="88"/>
      <c r="F401" s="52"/>
      <c r="G401" s="86"/>
      <c r="H401" s="80"/>
      <c r="I401" s="86"/>
      <c r="J401" s="63"/>
      <c r="K401" s="63"/>
      <c r="N401" s="108">
        <f t="shared" si="73"/>
        <v>0</v>
      </c>
    </row>
    <row r="402" spans="2:14" ht="21.75" customHeight="1">
      <c r="B402" s="78"/>
      <c r="C402" s="66" t="s">
        <v>823</v>
      </c>
      <c r="D402" s="125"/>
      <c r="E402" s="88" t="s">
        <v>252</v>
      </c>
      <c r="F402" s="74">
        <v>33</v>
      </c>
      <c r="G402" s="86">
        <v>1095</v>
      </c>
      <c r="H402" s="80">
        <f>F402*G402</f>
        <v>36135</v>
      </c>
      <c r="I402" s="86">
        <v>115</v>
      </c>
      <c r="J402" s="63">
        <f>F402*I402</f>
        <v>3795</v>
      </c>
      <c r="K402" s="63">
        <f>H402+J402</f>
        <v>39930</v>
      </c>
      <c r="N402" s="108">
        <f t="shared" si="73"/>
        <v>39930</v>
      </c>
    </row>
    <row r="403" spans="2:14" ht="21.75" customHeight="1">
      <c r="B403" s="78"/>
      <c r="C403" s="66" t="s">
        <v>824</v>
      </c>
      <c r="D403" s="125"/>
      <c r="E403" s="88"/>
      <c r="F403" s="52"/>
      <c r="G403" s="86"/>
      <c r="H403" s="80"/>
      <c r="I403" s="86"/>
      <c r="J403" s="63"/>
      <c r="K403" s="63"/>
      <c r="N403" s="108">
        <f t="shared" si="73"/>
        <v>0</v>
      </c>
    </row>
    <row r="404" spans="2:14" ht="21.75" customHeight="1">
      <c r="B404" s="78"/>
      <c r="C404" s="66" t="s">
        <v>823</v>
      </c>
      <c r="D404" s="125"/>
      <c r="E404" s="88" t="s">
        <v>252</v>
      </c>
      <c r="F404" s="74">
        <v>9</v>
      </c>
      <c r="G404" s="86">
        <v>1555</v>
      </c>
      <c r="H404" s="80">
        <f>F404*G404</f>
        <v>13995</v>
      </c>
      <c r="I404" s="86">
        <v>115</v>
      </c>
      <c r="J404" s="63">
        <f>F404*I404</f>
        <v>1035</v>
      </c>
      <c r="K404" s="63">
        <f>H404+J404</f>
        <v>15030</v>
      </c>
      <c r="N404" s="108">
        <f t="shared" si="73"/>
        <v>15030</v>
      </c>
    </row>
    <row r="405" spans="2:14" ht="21.75" customHeight="1">
      <c r="B405" s="78"/>
      <c r="C405" s="66" t="s">
        <v>825</v>
      </c>
      <c r="D405" s="125"/>
      <c r="E405" s="86"/>
      <c r="F405" s="52"/>
      <c r="G405" s="86"/>
      <c r="H405" s="80"/>
      <c r="I405" s="86"/>
      <c r="J405" s="63"/>
      <c r="K405" s="63"/>
      <c r="N405" s="108">
        <f t="shared" si="73"/>
        <v>0</v>
      </c>
    </row>
    <row r="406" spans="2:14" ht="21.75" customHeight="1">
      <c r="B406" s="78"/>
      <c r="C406" s="66" t="s">
        <v>826</v>
      </c>
      <c r="D406" s="125"/>
      <c r="E406" s="88" t="s">
        <v>252</v>
      </c>
      <c r="F406" s="74">
        <v>28</v>
      </c>
      <c r="G406" s="86">
        <v>725</v>
      </c>
      <c r="H406" s="80">
        <f>F406*G406</f>
        <v>20300</v>
      </c>
      <c r="I406" s="86">
        <v>115</v>
      </c>
      <c r="J406" s="63">
        <f>F406*I406</f>
        <v>3220</v>
      </c>
      <c r="K406" s="63">
        <f>H406+J406</f>
        <v>23520</v>
      </c>
      <c r="N406" s="108">
        <f t="shared" si="73"/>
        <v>23520</v>
      </c>
    </row>
    <row r="407" spans="2:14" ht="21.75" customHeight="1">
      <c r="B407" s="78"/>
      <c r="C407" s="66" t="s">
        <v>827</v>
      </c>
      <c r="D407" s="125"/>
      <c r="E407" s="88" t="s">
        <v>252</v>
      </c>
      <c r="F407" s="74">
        <v>116</v>
      </c>
      <c r="G407" s="86">
        <v>1840</v>
      </c>
      <c r="H407" s="80">
        <f>F407*G407</f>
        <v>213440</v>
      </c>
      <c r="I407" s="86">
        <v>150</v>
      </c>
      <c r="J407" s="63">
        <f>F407*I407</f>
        <v>17400</v>
      </c>
      <c r="K407" s="63">
        <f>H407+J407</f>
        <v>230840</v>
      </c>
      <c r="N407" s="108">
        <f>(G407+I407)*F407</f>
        <v>230840</v>
      </c>
    </row>
    <row r="408" spans="2:14" ht="21.75" customHeight="1">
      <c r="B408" s="78"/>
      <c r="C408" s="66" t="s">
        <v>828</v>
      </c>
      <c r="D408" s="125"/>
      <c r="E408" s="88"/>
      <c r="F408" s="52"/>
      <c r="G408" s="86"/>
      <c r="H408" s="80"/>
      <c r="I408" s="86"/>
      <c r="J408" s="63"/>
      <c r="K408" s="63"/>
      <c r="N408" s="108">
        <f t="shared" si="73"/>
        <v>0</v>
      </c>
    </row>
    <row r="409" spans="2:14" ht="21.75" customHeight="1">
      <c r="B409" s="78"/>
      <c r="C409" s="66" t="s">
        <v>829</v>
      </c>
      <c r="D409" s="125"/>
      <c r="E409" s="88" t="s">
        <v>252</v>
      </c>
      <c r="F409" s="74">
        <v>127</v>
      </c>
      <c r="G409" s="86">
        <v>2585</v>
      </c>
      <c r="H409" s="80">
        <f>F409*G409</f>
        <v>328295</v>
      </c>
      <c r="I409" s="86">
        <v>150</v>
      </c>
      <c r="J409" s="63">
        <f>F409*I409</f>
        <v>19050</v>
      </c>
      <c r="K409" s="63">
        <f>H409+J409</f>
        <v>347345</v>
      </c>
      <c r="N409" s="108">
        <f t="shared" si="73"/>
        <v>347345</v>
      </c>
    </row>
    <row r="410" spans="2:14" ht="21.75" customHeight="1">
      <c r="B410" s="78"/>
      <c r="C410" s="66" t="s">
        <v>828</v>
      </c>
      <c r="D410" s="125"/>
      <c r="E410" s="88"/>
      <c r="F410" s="52"/>
      <c r="G410" s="86"/>
      <c r="H410" s="80"/>
      <c r="I410" s="86"/>
      <c r="J410" s="63"/>
      <c r="K410" s="63"/>
      <c r="N410" s="108">
        <f t="shared" si="73"/>
        <v>0</v>
      </c>
    </row>
    <row r="411" spans="2:14" ht="21.75" customHeight="1">
      <c r="B411" s="78"/>
      <c r="C411" s="66" t="s">
        <v>830</v>
      </c>
      <c r="D411" s="125"/>
      <c r="E411" s="88" t="s">
        <v>252</v>
      </c>
      <c r="F411" s="74">
        <v>20</v>
      </c>
      <c r="G411" s="86">
        <v>2585</v>
      </c>
      <c r="H411" s="80">
        <f>F411*G411</f>
        <v>51700</v>
      </c>
      <c r="I411" s="86">
        <v>150</v>
      </c>
      <c r="J411" s="63">
        <f>F411*I411</f>
        <v>3000</v>
      </c>
      <c r="K411" s="63">
        <f>H411+J411</f>
        <v>54700</v>
      </c>
      <c r="N411" s="108">
        <f t="shared" si="73"/>
        <v>54700</v>
      </c>
    </row>
    <row r="412" spans="2:14" ht="21.75" customHeight="1">
      <c r="B412" s="78"/>
      <c r="C412" s="66" t="s">
        <v>831</v>
      </c>
      <c r="D412" s="125"/>
      <c r="E412" s="88"/>
      <c r="F412" s="52"/>
      <c r="G412" s="86"/>
      <c r="H412" s="80"/>
      <c r="I412" s="86"/>
      <c r="J412" s="63"/>
      <c r="K412" s="63"/>
      <c r="N412" s="108">
        <f t="shared" si="73"/>
        <v>0</v>
      </c>
    </row>
    <row r="413" spans="2:14" ht="21.75" customHeight="1">
      <c r="B413" s="78"/>
      <c r="C413" s="66" t="s">
        <v>832</v>
      </c>
      <c r="D413" s="125"/>
      <c r="E413" s="88" t="s">
        <v>252</v>
      </c>
      <c r="F413" s="74">
        <v>117</v>
      </c>
      <c r="G413" s="86">
        <v>1890</v>
      </c>
      <c r="H413" s="80">
        <f>F413*G413</f>
        <v>221130</v>
      </c>
      <c r="I413" s="86">
        <v>135</v>
      </c>
      <c r="J413" s="63">
        <f>F413*I413</f>
        <v>15795</v>
      </c>
      <c r="K413" s="63">
        <f>H413+J413</f>
        <v>236925</v>
      </c>
      <c r="N413" s="108">
        <f t="shared" si="73"/>
        <v>236925</v>
      </c>
    </row>
    <row r="414" spans="2:14" ht="21.75" customHeight="1">
      <c r="B414" s="78"/>
      <c r="C414" s="66" t="s">
        <v>834</v>
      </c>
      <c r="D414" s="125"/>
      <c r="E414" s="88"/>
      <c r="F414" s="52"/>
      <c r="G414" s="86"/>
      <c r="H414" s="80"/>
      <c r="I414" s="86"/>
      <c r="J414" s="63"/>
      <c r="K414" s="63"/>
      <c r="N414" s="108">
        <f t="shared" si="73"/>
        <v>0</v>
      </c>
    </row>
    <row r="415" spans="2:14" ht="21.75" customHeight="1">
      <c r="B415" s="78"/>
      <c r="C415" s="66" t="s">
        <v>833</v>
      </c>
      <c r="D415" s="125"/>
      <c r="E415" s="88" t="s">
        <v>252</v>
      </c>
      <c r="F415" s="74">
        <v>105</v>
      </c>
      <c r="G415" s="86">
        <v>785</v>
      </c>
      <c r="H415" s="80">
        <f>F415*G415</f>
        <v>82425</v>
      </c>
      <c r="I415" s="86">
        <v>115</v>
      </c>
      <c r="J415" s="63">
        <f>F415*I415</f>
        <v>12075</v>
      </c>
      <c r="K415" s="63">
        <f>H415+J415</f>
        <v>94500</v>
      </c>
      <c r="N415" s="108">
        <f t="shared" si="73"/>
        <v>94500</v>
      </c>
    </row>
    <row r="416" spans="2:14" ht="21.75" customHeight="1">
      <c r="B416" s="78"/>
      <c r="C416" s="66" t="s">
        <v>835</v>
      </c>
      <c r="D416" s="125"/>
      <c r="E416" s="88"/>
      <c r="F416" s="52"/>
      <c r="G416" s="86"/>
      <c r="H416" s="80"/>
      <c r="I416" s="86"/>
      <c r="J416" s="63"/>
      <c r="K416" s="63"/>
      <c r="N416" s="108">
        <f t="shared" si="73"/>
        <v>0</v>
      </c>
    </row>
    <row r="417" spans="2:14" ht="21.75" customHeight="1">
      <c r="B417" s="78"/>
      <c r="C417" s="66" t="s">
        <v>833</v>
      </c>
      <c r="D417" s="125"/>
      <c r="E417" s="88" t="s">
        <v>252</v>
      </c>
      <c r="F417" s="74">
        <v>40</v>
      </c>
      <c r="G417" s="86">
        <v>815</v>
      </c>
      <c r="H417" s="80">
        <f>F417*G417</f>
        <v>32600</v>
      </c>
      <c r="I417" s="86">
        <v>115</v>
      </c>
      <c r="J417" s="63">
        <f>F417*I417</f>
        <v>4600</v>
      </c>
      <c r="K417" s="63">
        <f>H417+J417</f>
        <v>37200</v>
      </c>
      <c r="N417" s="108">
        <f t="shared" si="73"/>
        <v>37200</v>
      </c>
    </row>
    <row r="418" spans="2:14" ht="21.75" customHeight="1">
      <c r="B418" s="78"/>
      <c r="C418" s="66" t="s">
        <v>836</v>
      </c>
      <c r="D418" s="125"/>
      <c r="E418" s="88"/>
      <c r="F418" s="52"/>
      <c r="G418" s="86"/>
      <c r="H418" s="80"/>
      <c r="I418" s="86"/>
      <c r="J418" s="63"/>
      <c r="K418" s="63"/>
      <c r="N418" s="108">
        <f t="shared" si="73"/>
        <v>0</v>
      </c>
    </row>
    <row r="419" spans="2:14" ht="21.75" customHeight="1">
      <c r="B419" s="78"/>
      <c r="C419" s="66" t="s">
        <v>830</v>
      </c>
      <c r="D419" s="125"/>
      <c r="E419" s="88" t="s">
        <v>252</v>
      </c>
      <c r="F419" s="74">
        <v>15</v>
      </c>
      <c r="G419" s="86">
        <v>3290</v>
      </c>
      <c r="H419" s="80">
        <f>F419*G419</f>
        <v>49350</v>
      </c>
      <c r="I419" s="86">
        <v>200</v>
      </c>
      <c r="J419" s="63">
        <f>F419*I419</f>
        <v>3000</v>
      </c>
      <c r="K419" s="63">
        <f>H419+J419</f>
        <v>52350</v>
      </c>
      <c r="N419" s="108">
        <f t="shared" si="73"/>
        <v>52350</v>
      </c>
    </row>
    <row r="420" spans="2:14" ht="21.75" customHeight="1">
      <c r="B420" s="76">
        <v>2</v>
      </c>
      <c r="C420" s="66" t="s">
        <v>581</v>
      </c>
      <c r="D420" s="125"/>
      <c r="E420" s="88"/>
      <c r="F420" s="52"/>
      <c r="G420" s="86"/>
      <c r="H420" s="80"/>
      <c r="I420" s="86"/>
      <c r="J420" s="63"/>
      <c r="K420" s="63"/>
      <c r="N420" s="108">
        <f t="shared" si="73"/>
        <v>0</v>
      </c>
    </row>
    <row r="421" spans="2:14" ht="21.75" customHeight="1">
      <c r="B421" s="78"/>
      <c r="C421" s="66" t="s">
        <v>288</v>
      </c>
      <c r="D421" s="125"/>
      <c r="E421" s="88" t="s">
        <v>252</v>
      </c>
      <c r="F421" s="74">
        <v>120</v>
      </c>
      <c r="G421" s="86">
        <v>70</v>
      </c>
      <c r="H421" s="80">
        <f aca="true" t="shared" si="74" ref="H421:H426">F421*G421</f>
        <v>8400</v>
      </c>
      <c r="I421" s="86">
        <v>80</v>
      </c>
      <c r="J421" s="63">
        <f aca="true" t="shared" si="75" ref="J421:J426">F421*I421</f>
        <v>9600</v>
      </c>
      <c r="K421" s="63">
        <f aca="true" t="shared" si="76" ref="K421:K426">H421+J421</f>
        <v>18000</v>
      </c>
      <c r="N421" s="108">
        <f t="shared" si="73"/>
        <v>18000</v>
      </c>
    </row>
    <row r="422" spans="2:14" ht="21.75" customHeight="1">
      <c r="B422" s="78"/>
      <c r="C422" s="66" t="s">
        <v>289</v>
      </c>
      <c r="D422" s="125"/>
      <c r="E422" s="88" t="s">
        <v>252</v>
      </c>
      <c r="F422" s="74">
        <v>60</v>
      </c>
      <c r="G422" s="86">
        <v>100</v>
      </c>
      <c r="H422" s="80">
        <f t="shared" si="74"/>
        <v>6000</v>
      </c>
      <c r="I422" s="86">
        <v>90</v>
      </c>
      <c r="J422" s="63">
        <f t="shared" si="75"/>
        <v>5400</v>
      </c>
      <c r="K422" s="63">
        <f t="shared" si="76"/>
        <v>11400</v>
      </c>
      <c r="N422" s="108">
        <f t="shared" si="73"/>
        <v>11400</v>
      </c>
    </row>
    <row r="423" spans="2:14" ht="21.75" customHeight="1">
      <c r="B423" s="78"/>
      <c r="C423" s="66" t="s">
        <v>290</v>
      </c>
      <c r="D423" s="125"/>
      <c r="E423" s="88" t="s">
        <v>252</v>
      </c>
      <c r="F423" s="74">
        <v>11</v>
      </c>
      <c r="G423" s="86">
        <v>130</v>
      </c>
      <c r="H423" s="80">
        <f t="shared" si="74"/>
        <v>1430</v>
      </c>
      <c r="I423" s="86">
        <v>100</v>
      </c>
      <c r="J423" s="63">
        <f t="shared" si="75"/>
        <v>1100</v>
      </c>
      <c r="K423" s="63">
        <f t="shared" si="76"/>
        <v>2530</v>
      </c>
      <c r="N423" s="108">
        <f t="shared" si="73"/>
        <v>2530</v>
      </c>
    </row>
    <row r="424" spans="2:14" ht="21.75" customHeight="1">
      <c r="B424" s="78"/>
      <c r="C424" s="66" t="s">
        <v>291</v>
      </c>
      <c r="D424" s="125"/>
      <c r="E424" s="88" t="s">
        <v>252</v>
      </c>
      <c r="F424" s="74">
        <v>12</v>
      </c>
      <c r="G424" s="86">
        <v>160</v>
      </c>
      <c r="H424" s="80">
        <f t="shared" si="74"/>
        <v>1920</v>
      </c>
      <c r="I424" s="86">
        <v>115</v>
      </c>
      <c r="J424" s="63">
        <f t="shared" si="75"/>
        <v>1380</v>
      </c>
      <c r="K424" s="63">
        <f t="shared" si="76"/>
        <v>3300</v>
      </c>
      <c r="N424" s="108">
        <f t="shared" si="73"/>
        <v>3300</v>
      </c>
    </row>
    <row r="425" spans="2:14" ht="21.75" customHeight="1">
      <c r="B425" s="78"/>
      <c r="C425" s="66" t="s">
        <v>292</v>
      </c>
      <c r="D425" s="125"/>
      <c r="E425" s="88" t="s">
        <v>252</v>
      </c>
      <c r="F425" s="74">
        <v>1</v>
      </c>
      <c r="G425" s="86">
        <v>250</v>
      </c>
      <c r="H425" s="80">
        <f t="shared" si="74"/>
        <v>250</v>
      </c>
      <c r="I425" s="86">
        <v>115</v>
      </c>
      <c r="J425" s="63">
        <f t="shared" si="75"/>
        <v>115</v>
      </c>
      <c r="K425" s="63">
        <f t="shared" si="76"/>
        <v>365</v>
      </c>
      <c r="N425" s="108">
        <f t="shared" si="73"/>
        <v>365</v>
      </c>
    </row>
    <row r="426" spans="2:14" ht="21.75" customHeight="1">
      <c r="B426" s="78"/>
      <c r="C426" s="66" t="s">
        <v>580</v>
      </c>
      <c r="D426" s="125"/>
      <c r="E426" s="88" t="s">
        <v>252</v>
      </c>
      <c r="F426" s="74">
        <v>18</v>
      </c>
      <c r="G426" s="86">
        <v>95</v>
      </c>
      <c r="H426" s="80">
        <f t="shared" si="74"/>
        <v>1710</v>
      </c>
      <c r="I426" s="86">
        <v>85</v>
      </c>
      <c r="J426" s="63">
        <f t="shared" si="75"/>
        <v>1530</v>
      </c>
      <c r="K426" s="63">
        <f t="shared" si="76"/>
        <v>3240</v>
      </c>
      <c r="N426" s="108">
        <f t="shared" si="73"/>
        <v>3240</v>
      </c>
    </row>
    <row r="427" spans="2:14" ht="21.75" customHeight="1">
      <c r="B427" s="76">
        <v>3</v>
      </c>
      <c r="C427" s="66" t="s">
        <v>579</v>
      </c>
      <c r="D427" s="125"/>
      <c r="E427" s="88"/>
      <c r="F427" s="74"/>
      <c r="G427" s="86"/>
      <c r="H427" s="80"/>
      <c r="I427" s="86"/>
      <c r="J427" s="63"/>
      <c r="K427" s="63"/>
      <c r="N427" s="108">
        <f t="shared" si="73"/>
        <v>0</v>
      </c>
    </row>
    <row r="428" spans="2:14" ht="21.75" customHeight="1">
      <c r="B428" s="76"/>
      <c r="C428" s="66" t="s">
        <v>578</v>
      </c>
      <c r="D428" s="125"/>
      <c r="E428" s="88" t="s">
        <v>252</v>
      </c>
      <c r="F428" s="74">
        <v>324</v>
      </c>
      <c r="G428" s="86">
        <v>180</v>
      </c>
      <c r="H428" s="80">
        <f>F428*G428</f>
        <v>58320</v>
      </c>
      <c r="I428" s="86">
        <v>90</v>
      </c>
      <c r="J428" s="63">
        <f>F428*I428</f>
        <v>29160</v>
      </c>
      <c r="K428" s="63">
        <f>H428+J428</f>
        <v>87480</v>
      </c>
      <c r="N428" s="108">
        <f t="shared" si="73"/>
        <v>87480</v>
      </c>
    </row>
    <row r="429" spans="2:14" ht="21.75" customHeight="1">
      <c r="B429" s="76"/>
      <c r="C429" s="66" t="s">
        <v>577</v>
      </c>
      <c r="D429" s="125"/>
      <c r="E429" s="88"/>
      <c r="F429" s="74"/>
      <c r="G429" s="86"/>
      <c r="H429" s="80"/>
      <c r="I429" s="86"/>
      <c r="J429" s="63"/>
      <c r="K429" s="63"/>
      <c r="N429" s="108">
        <f t="shared" si="73"/>
        <v>0</v>
      </c>
    </row>
    <row r="430" spans="2:14" ht="21.75" customHeight="1">
      <c r="B430" s="76"/>
      <c r="C430" s="66" t="s">
        <v>576</v>
      </c>
      <c r="D430" s="125"/>
      <c r="E430" s="88" t="s">
        <v>252</v>
      </c>
      <c r="F430" s="74">
        <v>4</v>
      </c>
      <c r="G430" s="86">
        <v>3000</v>
      </c>
      <c r="H430" s="80">
        <f>F430*G430</f>
        <v>12000</v>
      </c>
      <c r="I430" s="86">
        <v>90</v>
      </c>
      <c r="J430" s="63">
        <f>F430*I430</f>
        <v>360</v>
      </c>
      <c r="K430" s="63">
        <f>H430+J430</f>
        <v>12360</v>
      </c>
      <c r="N430" s="108">
        <f t="shared" si="73"/>
        <v>12360</v>
      </c>
    </row>
    <row r="431" spans="2:14" ht="21.75" customHeight="1">
      <c r="B431" s="76">
        <v>5</v>
      </c>
      <c r="C431" s="66" t="s">
        <v>293</v>
      </c>
      <c r="D431" s="125"/>
      <c r="E431" s="88"/>
      <c r="F431" s="74"/>
      <c r="G431" s="86"/>
      <c r="H431" s="80"/>
      <c r="I431" s="86"/>
      <c r="J431" s="63"/>
      <c r="K431" s="63"/>
      <c r="N431" s="108">
        <f t="shared" si="73"/>
        <v>0</v>
      </c>
    </row>
    <row r="432" spans="2:14" ht="21.75" customHeight="1">
      <c r="B432" s="78"/>
      <c r="C432" s="66" t="s">
        <v>575</v>
      </c>
      <c r="D432" s="125"/>
      <c r="E432" s="88" t="s">
        <v>252</v>
      </c>
      <c r="F432" s="74">
        <v>62</v>
      </c>
      <c r="G432" s="86">
        <v>400</v>
      </c>
      <c r="H432" s="80">
        <f>F432*G432</f>
        <v>24800</v>
      </c>
      <c r="I432" s="86">
        <v>110</v>
      </c>
      <c r="J432" s="63">
        <f>F432*I432</f>
        <v>6820</v>
      </c>
      <c r="K432" s="63">
        <f>H432+J432</f>
        <v>31620</v>
      </c>
      <c r="N432" s="108">
        <f t="shared" si="73"/>
        <v>31620</v>
      </c>
    </row>
    <row r="433" spans="2:14" ht="21.75" customHeight="1">
      <c r="B433" s="76">
        <v>6</v>
      </c>
      <c r="C433" s="66" t="s">
        <v>574</v>
      </c>
      <c r="D433" s="125"/>
      <c r="E433" s="88"/>
      <c r="F433" s="74"/>
      <c r="G433" s="86"/>
      <c r="H433" s="80"/>
      <c r="I433" s="86"/>
      <c r="J433" s="63"/>
      <c r="K433" s="63"/>
      <c r="N433" s="108">
        <f t="shared" si="73"/>
        <v>0</v>
      </c>
    </row>
    <row r="434" spans="2:14" ht="21.75" customHeight="1">
      <c r="B434" s="78"/>
      <c r="C434" s="66" t="s">
        <v>573</v>
      </c>
      <c r="D434" s="125"/>
      <c r="E434" s="88" t="s">
        <v>252</v>
      </c>
      <c r="F434" s="74">
        <v>1</v>
      </c>
      <c r="G434" s="86">
        <v>6500</v>
      </c>
      <c r="H434" s="80">
        <f>F434*G434</f>
        <v>6500</v>
      </c>
      <c r="I434" s="86">
        <v>300</v>
      </c>
      <c r="J434" s="63">
        <f>F434*I434</f>
        <v>300</v>
      </c>
      <c r="K434" s="63">
        <f>H434+J434</f>
        <v>6800</v>
      </c>
      <c r="N434" s="108">
        <f t="shared" si="73"/>
        <v>6800</v>
      </c>
    </row>
    <row r="435" spans="2:14" ht="21.75" customHeight="1">
      <c r="B435" s="78"/>
      <c r="C435" s="66" t="s">
        <v>572</v>
      </c>
      <c r="D435" s="125"/>
      <c r="E435" s="88" t="s">
        <v>252</v>
      </c>
      <c r="F435" s="74">
        <v>1</v>
      </c>
      <c r="G435" s="86">
        <v>6500</v>
      </c>
      <c r="H435" s="80">
        <f>F435*G435</f>
        <v>6500</v>
      </c>
      <c r="I435" s="86">
        <v>300</v>
      </c>
      <c r="J435" s="63">
        <f>F435*I435</f>
        <v>300</v>
      </c>
      <c r="K435" s="63">
        <f>H435+J435</f>
        <v>6800</v>
      </c>
      <c r="N435" s="108">
        <f t="shared" si="73"/>
        <v>6800</v>
      </c>
    </row>
    <row r="436" spans="2:14" ht="21.75" customHeight="1">
      <c r="B436" s="78"/>
      <c r="C436" s="66" t="s">
        <v>571</v>
      </c>
      <c r="D436" s="125"/>
      <c r="E436" s="88" t="s">
        <v>252</v>
      </c>
      <c r="F436" s="74">
        <v>1</v>
      </c>
      <c r="G436" s="86">
        <v>6500</v>
      </c>
      <c r="H436" s="80">
        <f>F436*G436</f>
        <v>6500</v>
      </c>
      <c r="I436" s="86">
        <v>300</v>
      </c>
      <c r="J436" s="63">
        <f>F436*I436</f>
        <v>300</v>
      </c>
      <c r="K436" s="63">
        <f>H436+J436</f>
        <v>6800</v>
      </c>
      <c r="N436" s="108">
        <f t="shared" si="73"/>
        <v>6800</v>
      </c>
    </row>
    <row r="437" spans="2:14" ht="21.75" customHeight="1">
      <c r="B437" s="78"/>
      <c r="C437" s="66" t="s">
        <v>571</v>
      </c>
      <c r="D437" s="125"/>
      <c r="E437" s="88" t="s">
        <v>252</v>
      </c>
      <c r="F437" s="85">
        <v>1</v>
      </c>
      <c r="G437" s="86">
        <v>6500</v>
      </c>
      <c r="H437" s="80">
        <f>F437*G437</f>
        <v>6500</v>
      </c>
      <c r="I437" s="86">
        <v>300</v>
      </c>
      <c r="J437" s="63">
        <f>F437*I437</f>
        <v>300</v>
      </c>
      <c r="K437" s="63">
        <f>H437+J437</f>
        <v>6800</v>
      </c>
      <c r="N437" s="108">
        <f t="shared" si="73"/>
        <v>6800</v>
      </c>
    </row>
    <row r="438" spans="2:14" ht="21.75" customHeight="1">
      <c r="B438" s="76">
        <v>7</v>
      </c>
      <c r="C438" s="66" t="s">
        <v>570</v>
      </c>
      <c r="D438" s="125"/>
      <c r="E438" s="88" t="s">
        <v>252</v>
      </c>
      <c r="F438" s="85">
        <v>10</v>
      </c>
      <c r="G438" s="86">
        <v>2320</v>
      </c>
      <c r="H438" s="80">
        <f>F438*G438</f>
        <v>23200</v>
      </c>
      <c r="I438" s="86">
        <v>300</v>
      </c>
      <c r="J438" s="63">
        <f>F438*I438</f>
        <v>3000</v>
      </c>
      <c r="K438" s="63">
        <f>H438+J438</f>
        <v>26200</v>
      </c>
      <c r="N438" s="108">
        <f t="shared" si="73"/>
        <v>26200</v>
      </c>
    </row>
    <row r="439" spans="2:14" ht="21.75" customHeight="1">
      <c r="B439" s="76"/>
      <c r="C439" s="66"/>
      <c r="D439" s="125"/>
      <c r="E439" s="88"/>
      <c r="F439" s="85"/>
      <c r="G439" s="86"/>
      <c r="H439" s="80"/>
      <c r="I439" s="86"/>
      <c r="J439" s="63"/>
      <c r="K439" s="63"/>
      <c r="N439" s="108"/>
    </row>
    <row r="440" spans="2:14" ht="21.75" customHeight="1">
      <c r="B440" s="76">
        <v>8</v>
      </c>
      <c r="C440" s="66" t="s">
        <v>294</v>
      </c>
      <c r="D440" s="125"/>
      <c r="E440" s="88"/>
      <c r="F440" s="85"/>
      <c r="G440" s="86"/>
      <c r="H440" s="80"/>
      <c r="I440" s="86"/>
      <c r="J440" s="63"/>
      <c r="K440" s="63"/>
      <c r="N440" s="108">
        <f t="shared" si="73"/>
        <v>0</v>
      </c>
    </row>
    <row r="441" spans="2:14" ht="21.75" customHeight="1">
      <c r="B441" s="78"/>
      <c r="C441" s="66" t="s">
        <v>295</v>
      </c>
      <c r="D441" s="125"/>
      <c r="E441" s="88" t="s">
        <v>252</v>
      </c>
      <c r="F441" s="85">
        <v>1</v>
      </c>
      <c r="G441" s="86">
        <v>20780</v>
      </c>
      <c r="H441" s="80">
        <f aca="true" t="shared" si="77" ref="H441:H473">F441*G441</f>
        <v>20780</v>
      </c>
      <c r="I441" s="86">
        <v>500</v>
      </c>
      <c r="J441" s="63">
        <f aca="true" t="shared" si="78" ref="J441:J449">F441*I441</f>
        <v>500</v>
      </c>
      <c r="K441" s="63">
        <f aca="true" t="shared" si="79" ref="K441:K449">H441+J441</f>
        <v>21280</v>
      </c>
      <c r="N441" s="108">
        <f t="shared" si="73"/>
        <v>21280</v>
      </c>
    </row>
    <row r="442" spans="2:14" ht="21.75" customHeight="1">
      <c r="B442" s="78"/>
      <c r="C442" s="66" t="s">
        <v>296</v>
      </c>
      <c r="D442" s="125"/>
      <c r="E442" s="88" t="s">
        <v>252</v>
      </c>
      <c r="F442" s="85">
        <v>1</v>
      </c>
      <c r="G442" s="86">
        <v>11850</v>
      </c>
      <c r="H442" s="80">
        <f t="shared" si="77"/>
        <v>11850</v>
      </c>
      <c r="I442" s="86">
        <v>500</v>
      </c>
      <c r="J442" s="63">
        <f t="shared" si="78"/>
        <v>500</v>
      </c>
      <c r="K442" s="63">
        <f t="shared" si="79"/>
        <v>12350</v>
      </c>
      <c r="N442" s="108">
        <f t="shared" si="73"/>
        <v>12350</v>
      </c>
    </row>
    <row r="443" spans="2:14" ht="21.75" customHeight="1">
      <c r="B443" s="78"/>
      <c r="C443" s="66" t="s">
        <v>297</v>
      </c>
      <c r="D443" s="125"/>
      <c r="E443" s="88" t="s">
        <v>252</v>
      </c>
      <c r="F443" s="85">
        <v>1</v>
      </c>
      <c r="G443" s="86">
        <v>19680</v>
      </c>
      <c r="H443" s="80">
        <f t="shared" si="77"/>
        <v>19680</v>
      </c>
      <c r="I443" s="86">
        <v>500</v>
      </c>
      <c r="J443" s="63">
        <f t="shared" si="78"/>
        <v>500</v>
      </c>
      <c r="K443" s="63">
        <f t="shared" si="79"/>
        <v>20180</v>
      </c>
      <c r="N443" s="108">
        <f t="shared" si="73"/>
        <v>20180</v>
      </c>
    </row>
    <row r="444" spans="2:14" ht="21.75" customHeight="1">
      <c r="B444" s="78"/>
      <c r="C444" s="66" t="s">
        <v>298</v>
      </c>
      <c r="D444" s="125"/>
      <c r="E444" s="88" t="s">
        <v>252</v>
      </c>
      <c r="F444" s="85">
        <v>1</v>
      </c>
      <c r="G444" s="86">
        <v>19420</v>
      </c>
      <c r="H444" s="80">
        <f t="shared" si="77"/>
        <v>19420</v>
      </c>
      <c r="I444" s="86">
        <v>500</v>
      </c>
      <c r="J444" s="63">
        <f t="shared" si="78"/>
        <v>500</v>
      </c>
      <c r="K444" s="63">
        <f t="shared" si="79"/>
        <v>19920</v>
      </c>
      <c r="N444" s="108">
        <f t="shared" si="73"/>
        <v>19920</v>
      </c>
    </row>
    <row r="445" spans="2:14" ht="21.75" customHeight="1">
      <c r="B445" s="78"/>
      <c r="C445" s="66" t="s">
        <v>569</v>
      </c>
      <c r="D445" s="125"/>
      <c r="E445" s="88" t="s">
        <v>252</v>
      </c>
      <c r="F445" s="85">
        <v>1</v>
      </c>
      <c r="G445" s="86">
        <v>18610</v>
      </c>
      <c r="H445" s="80">
        <f t="shared" si="77"/>
        <v>18610</v>
      </c>
      <c r="I445" s="86">
        <v>500</v>
      </c>
      <c r="J445" s="63">
        <f t="shared" si="78"/>
        <v>500</v>
      </c>
      <c r="K445" s="63">
        <f t="shared" si="79"/>
        <v>19110</v>
      </c>
      <c r="N445" s="108">
        <f t="shared" si="73"/>
        <v>19110</v>
      </c>
    </row>
    <row r="446" spans="2:14" ht="21.75" customHeight="1">
      <c r="B446" s="78"/>
      <c r="C446" s="66" t="s">
        <v>568</v>
      </c>
      <c r="D446" s="125"/>
      <c r="E446" s="88" t="s">
        <v>252</v>
      </c>
      <c r="F446" s="85">
        <v>1</v>
      </c>
      <c r="G446" s="86">
        <v>19620</v>
      </c>
      <c r="H446" s="80">
        <f t="shared" si="77"/>
        <v>19620</v>
      </c>
      <c r="I446" s="86">
        <v>500</v>
      </c>
      <c r="J446" s="63">
        <f t="shared" si="78"/>
        <v>500</v>
      </c>
      <c r="K446" s="63">
        <f t="shared" si="79"/>
        <v>20120</v>
      </c>
      <c r="N446" s="108">
        <f t="shared" si="73"/>
        <v>20120</v>
      </c>
    </row>
    <row r="447" spans="2:14" ht="21.75" customHeight="1">
      <c r="B447" s="78"/>
      <c r="C447" s="66" t="s">
        <v>567</v>
      </c>
      <c r="D447" s="125"/>
      <c r="E447" s="88" t="s">
        <v>252</v>
      </c>
      <c r="F447" s="85">
        <v>1</v>
      </c>
      <c r="G447" s="86">
        <v>8760</v>
      </c>
      <c r="H447" s="80">
        <f t="shared" si="77"/>
        <v>8760</v>
      </c>
      <c r="I447" s="86">
        <v>500</v>
      </c>
      <c r="J447" s="63">
        <f t="shared" si="78"/>
        <v>500</v>
      </c>
      <c r="K447" s="63">
        <f t="shared" si="79"/>
        <v>9260</v>
      </c>
      <c r="N447" s="108">
        <f t="shared" si="73"/>
        <v>9260</v>
      </c>
    </row>
    <row r="448" spans="2:14" ht="21.75" customHeight="1">
      <c r="B448" s="78"/>
      <c r="C448" s="66" t="s">
        <v>566</v>
      </c>
      <c r="D448" s="125"/>
      <c r="E448" s="88" t="s">
        <v>252</v>
      </c>
      <c r="F448" s="85">
        <v>1</v>
      </c>
      <c r="G448" s="86">
        <v>9760</v>
      </c>
      <c r="H448" s="80">
        <f t="shared" si="77"/>
        <v>9760</v>
      </c>
      <c r="I448" s="86">
        <v>500</v>
      </c>
      <c r="J448" s="63">
        <f t="shared" si="78"/>
        <v>500</v>
      </c>
      <c r="K448" s="63">
        <f t="shared" si="79"/>
        <v>10260</v>
      </c>
      <c r="N448" s="108">
        <f t="shared" si="73"/>
        <v>10260</v>
      </c>
    </row>
    <row r="449" spans="2:14" ht="21.75" customHeight="1">
      <c r="B449" s="76">
        <v>9</v>
      </c>
      <c r="C449" s="66" t="s">
        <v>565</v>
      </c>
      <c r="D449" s="125"/>
      <c r="E449" s="88" t="s">
        <v>252</v>
      </c>
      <c r="F449" s="85">
        <v>1</v>
      </c>
      <c r="G449" s="86">
        <v>786000</v>
      </c>
      <c r="H449" s="80">
        <f t="shared" si="77"/>
        <v>786000</v>
      </c>
      <c r="I449" s="86">
        <v>30000</v>
      </c>
      <c r="J449" s="63">
        <f t="shared" si="78"/>
        <v>30000</v>
      </c>
      <c r="K449" s="63">
        <f t="shared" si="79"/>
        <v>816000</v>
      </c>
      <c r="N449" s="108">
        <f t="shared" si="73"/>
        <v>816000</v>
      </c>
    </row>
    <row r="450" spans="2:14" ht="21.75" customHeight="1">
      <c r="B450" s="76">
        <v>10</v>
      </c>
      <c r="C450" s="66" t="s">
        <v>837</v>
      </c>
      <c r="D450" s="125"/>
      <c r="E450" s="88" t="s">
        <v>252</v>
      </c>
      <c r="F450" s="85">
        <v>1</v>
      </c>
      <c r="G450" s="86">
        <v>500000</v>
      </c>
      <c r="H450" s="80">
        <f>F450*G450</f>
        <v>500000</v>
      </c>
      <c r="I450" s="86">
        <v>3000</v>
      </c>
      <c r="J450" s="63">
        <f>F450*I450</f>
        <v>3000</v>
      </c>
      <c r="K450" s="63">
        <f>H450+J450</f>
        <v>503000</v>
      </c>
      <c r="N450" s="108">
        <f>(G450+I450)*F450</f>
        <v>503000</v>
      </c>
    </row>
    <row r="451" spans="2:14" ht="21.75" customHeight="1">
      <c r="B451" s="76">
        <v>11</v>
      </c>
      <c r="C451" s="66" t="s">
        <v>564</v>
      </c>
      <c r="D451" s="125"/>
      <c r="E451" s="88" t="s">
        <v>233</v>
      </c>
      <c r="F451" s="74">
        <v>956</v>
      </c>
      <c r="G451" s="86">
        <v>600</v>
      </c>
      <c r="H451" s="80">
        <f t="shared" si="77"/>
        <v>573600</v>
      </c>
      <c r="I451" s="86">
        <v>150</v>
      </c>
      <c r="J451" s="63">
        <f>F451*I451</f>
        <v>143400</v>
      </c>
      <c r="K451" s="63">
        <f>H451+J451</f>
        <v>717000</v>
      </c>
      <c r="N451" s="108">
        <f t="shared" si="73"/>
        <v>717000</v>
      </c>
    </row>
    <row r="452" spans="2:14" ht="21.75" customHeight="1">
      <c r="B452" s="76">
        <v>12</v>
      </c>
      <c r="C452" s="66" t="s">
        <v>120</v>
      </c>
      <c r="D452" s="125"/>
      <c r="E452" s="88" t="s">
        <v>233</v>
      </c>
      <c r="F452" s="74">
        <v>72</v>
      </c>
      <c r="G452" s="86">
        <v>1200</v>
      </c>
      <c r="H452" s="80">
        <f t="shared" si="77"/>
        <v>86400</v>
      </c>
      <c r="I452" s="86">
        <v>150</v>
      </c>
      <c r="J452" s="63">
        <f>F452*I452</f>
        <v>10800</v>
      </c>
      <c r="K452" s="63">
        <f>H452+J452</f>
        <v>97200</v>
      </c>
      <c r="N452" s="108">
        <f t="shared" si="73"/>
        <v>97200</v>
      </c>
    </row>
    <row r="453" spans="2:14" ht="21.75" customHeight="1">
      <c r="B453" s="76">
        <v>13</v>
      </c>
      <c r="C453" s="66" t="s">
        <v>299</v>
      </c>
      <c r="D453" s="125"/>
      <c r="E453" s="88"/>
      <c r="F453" s="74"/>
      <c r="G453" s="86"/>
      <c r="H453" s="80"/>
      <c r="I453" s="86"/>
      <c r="J453" s="63"/>
      <c r="K453" s="63"/>
      <c r="N453" s="108">
        <f t="shared" si="73"/>
        <v>0</v>
      </c>
    </row>
    <row r="454" spans="2:14" ht="21.75" customHeight="1">
      <c r="B454" s="78"/>
      <c r="C454" s="66" t="s">
        <v>563</v>
      </c>
      <c r="D454" s="125"/>
      <c r="E454" s="88" t="s">
        <v>274</v>
      </c>
      <c r="F454" s="74">
        <v>288</v>
      </c>
      <c r="G454" s="86">
        <v>852</v>
      </c>
      <c r="H454" s="80">
        <f t="shared" si="77"/>
        <v>245376</v>
      </c>
      <c r="I454" s="86">
        <v>125</v>
      </c>
      <c r="J454" s="63">
        <f aca="true" t="shared" si="80" ref="J454:J465">F454*I454</f>
        <v>36000</v>
      </c>
      <c r="K454" s="63">
        <f aca="true" t="shared" si="81" ref="K454:K465">H454+J454</f>
        <v>281376</v>
      </c>
      <c r="N454" s="108">
        <f t="shared" si="73"/>
        <v>281376</v>
      </c>
    </row>
    <row r="455" spans="2:14" ht="21.75" customHeight="1">
      <c r="B455" s="78"/>
      <c r="C455" s="66" t="s">
        <v>300</v>
      </c>
      <c r="D455" s="125"/>
      <c r="E455" s="88" t="s">
        <v>274</v>
      </c>
      <c r="F455" s="74">
        <v>350</v>
      </c>
      <c r="G455" s="86">
        <v>654</v>
      </c>
      <c r="H455" s="80">
        <f>F455*G455</f>
        <v>228900</v>
      </c>
      <c r="I455" s="86">
        <v>115</v>
      </c>
      <c r="J455" s="63">
        <f>F455*I455</f>
        <v>40250</v>
      </c>
      <c r="K455" s="63">
        <f t="shared" si="81"/>
        <v>269150</v>
      </c>
      <c r="N455" s="108">
        <f t="shared" si="73"/>
        <v>269150</v>
      </c>
    </row>
    <row r="456" spans="2:14" ht="21.75" customHeight="1">
      <c r="B456" s="78"/>
      <c r="C456" s="66" t="s">
        <v>301</v>
      </c>
      <c r="D456" s="125"/>
      <c r="E456" s="88" t="s">
        <v>274</v>
      </c>
      <c r="F456" s="74">
        <v>80</v>
      </c>
      <c r="G456" s="86">
        <v>526</v>
      </c>
      <c r="H456" s="80">
        <f>F456*G456</f>
        <v>42080</v>
      </c>
      <c r="I456" s="86">
        <v>100</v>
      </c>
      <c r="J456" s="63">
        <f>F456*I456</f>
        <v>8000</v>
      </c>
      <c r="K456" s="63">
        <f t="shared" si="81"/>
        <v>50080</v>
      </c>
      <c r="N456" s="108">
        <f aca="true" t="shared" si="82" ref="N456:N526">(G456+I456)*F456</f>
        <v>50080</v>
      </c>
    </row>
    <row r="457" spans="2:14" ht="21.75" customHeight="1">
      <c r="B457" s="78"/>
      <c r="C457" s="66" t="s">
        <v>562</v>
      </c>
      <c r="D457" s="125"/>
      <c r="E457" s="88" t="s">
        <v>274</v>
      </c>
      <c r="F457" s="74">
        <v>460</v>
      </c>
      <c r="G457" s="86">
        <v>334</v>
      </c>
      <c r="H457" s="80">
        <f t="shared" si="77"/>
        <v>153640</v>
      </c>
      <c r="I457" s="86">
        <v>55</v>
      </c>
      <c r="J457" s="63">
        <f t="shared" si="80"/>
        <v>25300</v>
      </c>
      <c r="K457" s="63">
        <f t="shared" si="81"/>
        <v>178940</v>
      </c>
      <c r="N457" s="108">
        <f t="shared" si="82"/>
        <v>178940</v>
      </c>
    </row>
    <row r="458" spans="2:14" ht="21.75" customHeight="1">
      <c r="B458" s="78"/>
      <c r="C458" s="66" t="s">
        <v>302</v>
      </c>
      <c r="D458" s="125"/>
      <c r="E458" s="88" t="s">
        <v>274</v>
      </c>
      <c r="F458" s="74">
        <v>280</v>
      </c>
      <c r="G458" s="86">
        <v>249</v>
      </c>
      <c r="H458" s="80">
        <f t="shared" si="77"/>
        <v>69720</v>
      </c>
      <c r="I458" s="86">
        <v>45</v>
      </c>
      <c r="J458" s="63">
        <f t="shared" si="80"/>
        <v>12600</v>
      </c>
      <c r="K458" s="63">
        <f t="shared" si="81"/>
        <v>82320</v>
      </c>
      <c r="N458" s="108">
        <f t="shared" si="82"/>
        <v>82320</v>
      </c>
    </row>
    <row r="459" spans="2:14" ht="21.75" customHeight="1">
      <c r="B459" s="78"/>
      <c r="C459" s="66" t="s">
        <v>303</v>
      </c>
      <c r="D459" s="125"/>
      <c r="E459" s="88" t="s">
        <v>274</v>
      </c>
      <c r="F459" s="74">
        <v>360</v>
      </c>
      <c r="G459" s="86">
        <v>183</v>
      </c>
      <c r="H459" s="80">
        <f t="shared" si="77"/>
        <v>65880</v>
      </c>
      <c r="I459" s="86">
        <v>40</v>
      </c>
      <c r="J459" s="63">
        <f t="shared" si="80"/>
        <v>14400</v>
      </c>
      <c r="K459" s="63">
        <f t="shared" si="81"/>
        <v>80280</v>
      </c>
      <c r="N459" s="108">
        <f t="shared" si="82"/>
        <v>80280</v>
      </c>
    </row>
    <row r="460" spans="2:14" ht="21.75" customHeight="1">
      <c r="B460" s="78"/>
      <c r="C460" s="66" t="s">
        <v>304</v>
      </c>
      <c r="D460" s="125"/>
      <c r="E460" s="88" t="s">
        <v>274</v>
      </c>
      <c r="F460" s="74">
        <v>500</v>
      </c>
      <c r="G460" s="86">
        <v>138</v>
      </c>
      <c r="H460" s="80">
        <f t="shared" si="77"/>
        <v>69000</v>
      </c>
      <c r="I460" s="86">
        <v>30</v>
      </c>
      <c r="J460" s="63">
        <f t="shared" si="80"/>
        <v>15000</v>
      </c>
      <c r="K460" s="63">
        <f t="shared" si="81"/>
        <v>84000</v>
      </c>
      <c r="N460" s="108">
        <f t="shared" si="82"/>
        <v>84000</v>
      </c>
    </row>
    <row r="461" spans="2:14" ht="21.75" customHeight="1">
      <c r="B461" s="78"/>
      <c r="C461" s="66" t="s">
        <v>305</v>
      </c>
      <c r="D461" s="125"/>
      <c r="E461" s="88" t="s">
        <v>274</v>
      </c>
      <c r="F461" s="74">
        <v>550</v>
      </c>
      <c r="G461" s="86">
        <v>102</v>
      </c>
      <c r="H461" s="80">
        <f t="shared" si="77"/>
        <v>56100</v>
      </c>
      <c r="I461" s="86">
        <v>25</v>
      </c>
      <c r="J461" s="63">
        <f t="shared" si="80"/>
        <v>13750</v>
      </c>
      <c r="K461" s="63">
        <f t="shared" si="81"/>
        <v>69850</v>
      </c>
      <c r="N461" s="108">
        <f t="shared" si="82"/>
        <v>69850</v>
      </c>
    </row>
    <row r="462" spans="2:14" ht="21.75" customHeight="1">
      <c r="B462" s="78"/>
      <c r="C462" s="66" t="s">
        <v>306</v>
      </c>
      <c r="D462" s="125"/>
      <c r="E462" s="88" t="s">
        <v>274</v>
      </c>
      <c r="F462" s="74">
        <v>950</v>
      </c>
      <c r="G462" s="86">
        <v>70</v>
      </c>
      <c r="H462" s="80">
        <f t="shared" si="77"/>
        <v>66500</v>
      </c>
      <c r="I462" s="86">
        <v>20</v>
      </c>
      <c r="J462" s="63">
        <f t="shared" si="80"/>
        <v>19000</v>
      </c>
      <c r="K462" s="63">
        <f t="shared" si="81"/>
        <v>85500</v>
      </c>
      <c r="N462" s="108">
        <f t="shared" si="82"/>
        <v>85500</v>
      </c>
    </row>
    <row r="463" spans="2:14" ht="21.75" customHeight="1">
      <c r="B463" s="78"/>
      <c r="C463" s="66" t="s">
        <v>307</v>
      </c>
      <c r="D463" s="125"/>
      <c r="E463" s="88" t="s">
        <v>274</v>
      </c>
      <c r="F463" s="74">
        <v>260</v>
      </c>
      <c r="G463" s="86">
        <v>50</v>
      </c>
      <c r="H463" s="80">
        <f t="shared" si="77"/>
        <v>13000</v>
      </c>
      <c r="I463" s="86">
        <v>16</v>
      </c>
      <c r="J463" s="63">
        <f t="shared" si="80"/>
        <v>4160</v>
      </c>
      <c r="K463" s="63">
        <f t="shared" si="81"/>
        <v>17160</v>
      </c>
      <c r="N463" s="108">
        <f t="shared" si="82"/>
        <v>17160</v>
      </c>
    </row>
    <row r="464" spans="2:14" ht="21.75" customHeight="1">
      <c r="B464" s="78"/>
      <c r="C464" s="66" t="s">
        <v>308</v>
      </c>
      <c r="D464" s="125"/>
      <c r="E464" s="88" t="s">
        <v>274</v>
      </c>
      <c r="F464" s="74">
        <v>113</v>
      </c>
      <c r="G464" s="86">
        <v>41</v>
      </c>
      <c r="H464" s="80">
        <f t="shared" si="77"/>
        <v>4633</v>
      </c>
      <c r="I464" s="86">
        <v>12</v>
      </c>
      <c r="J464" s="63">
        <f t="shared" si="80"/>
        <v>1356</v>
      </c>
      <c r="K464" s="63">
        <f t="shared" si="81"/>
        <v>5989</v>
      </c>
      <c r="N464" s="108">
        <f t="shared" si="82"/>
        <v>5989</v>
      </c>
    </row>
    <row r="465" spans="2:14" ht="21.75" customHeight="1">
      <c r="B465" s="78"/>
      <c r="C465" s="66" t="s">
        <v>313</v>
      </c>
      <c r="D465" s="125"/>
      <c r="E465" s="88" t="s">
        <v>321</v>
      </c>
      <c r="F465" s="74">
        <v>1</v>
      </c>
      <c r="G465" s="86">
        <f>SUM(H454:H464)*0.1</f>
        <v>101482.90000000001</v>
      </c>
      <c r="H465" s="80">
        <f>F465*G465</f>
        <v>101482.90000000001</v>
      </c>
      <c r="I465" s="86">
        <v>0</v>
      </c>
      <c r="J465" s="63">
        <f t="shared" si="80"/>
        <v>0</v>
      </c>
      <c r="K465" s="63">
        <f t="shared" si="81"/>
        <v>101482.90000000001</v>
      </c>
      <c r="N465" s="108">
        <f>(G465+I465)*F465</f>
        <v>101482.90000000001</v>
      </c>
    </row>
    <row r="466" spans="2:14" ht="21.75" customHeight="1">
      <c r="B466" s="76">
        <v>14</v>
      </c>
      <c r="C466" s="66" t="s">
        <v>309</v>
      </c>
      <c r="D466" s="125"/>
      <c r="E466" s="88"/>
      <c r="F466" s="74"/>
      <c r="G466" s="86"/>
      <c r="H466" s="80"/>
      <c r="I466" s="86"/>
      <c r="J466" s="63"/>
      <c r="K466" s="63"/>
      <c r="N466" s="108">
        <f t="shared" si="82"/>
        <v>0</v>
      </c>
    </row>
    <row r="467" spans="2:14" ht="21.75" customHeight="1">
      <c r="B467" s="76"/>
      <c r="C467" s="66" t="s">
        <v>310</v>
      </c>
      <c r="D467" s="125"/>
      <c r="E467" s="88" t="s">
        <v>274</v>
      </c>
      <c r="F467" s="74">
        <v>142</v>
      </c>
      <c r="G467" s="86">
        <v>460</v>
      </c>
      <c r="H467" s="80">
        <f>F467*G467</f>
        <v>65320</v>
      </c>
      <c r="I467" s="86">
        <v>65</v>
      </c>
      <c r="J467" s="63">
        <f>F467*I467</f>
        <v>9230</v>
      </c>
      <c r="K467" s="63">
        <f aca="true" t="shared" si="83" ref="K467:K473">H467+J467</f>
        <v>74550</v>
      </c>
      <c r="N467" s="108">
        <f t="shared" si="82"/>
        <v>74550</v>
      </c>
    </row>
    <row r="468" spans="2:14" ht="21.75" customHeight="1">
      <c r="B468" s="78"/>
      <c r="C468" s="66" t="s">
        <v>311</v>
      </c>
      <c r="D468" s="125"/>
      <c r="E468" s="88" t="s">
        <v>274</v>
      </c>
      <c r="F468" s="74">
        <v>66</v>
      </c>
      <c r="G468" s="86">
        <v>371</v>
      </c>
      <c r="H468" s="80">
        <f t="shared" si="77"/>
        <v>24486</v>
      </c>
      <c r="I468" s="86">
        <v>55</v>
      </c>
      <c r="J468" s="63">
        <f aca="true" t="shared" si="84" ref="J468:J473">F468*I468</f>
        <v>3630</v>
      </c>
      <c r="K468" s="63">
        <f t="shared" si="83"/>
        <v>28116</v>
      </c>
      <c r="N468" s="108">
        <f t="shared" si="82"/>
        <v>28116</v>
      </c>
    </row>
    <row r="469" spans="2:14" ht="21.75" customHeight="1">
      <c r="B469" s="78"/>
      <c r="C469" s="66" t="s">
        <v>312</v>
      </c>
      <c r="D469" s="125"/>
      <c r="E469" s="88" t="s">
        <v>274</v>
      </c>
      <c r="F469" s="74">
        <v>220</v>
      </c>
      <c r="G469" s="86">
        <v>214</v>
      </c>
      <c r="H469" s="80">
        <f t="shared" si="77"/>
        <v>47080</v>
      </c>
      <c r="I469" s="86">
        <v>48</v>
      </c>
      <c r="J469" s="63">
        <f t="shared" si="84"/>
        <v>10560</v>
      </c>
      <c r="K469" s="63">
        <f t="shared" si="83"/>
        <v>57640</v>
      </c>
      <c r="N469" s="108">
        <f t="shared" si="82"/>
        <v>57640</v>
      </c>
    </row>
    <row r="470" spans="2:14" ht="21.75" customHeight="1">
      <c r="B470" s="78"/>
      <c r="C470" s="66" t="s">
        <v>561</v>
      </c>
      <c r="D470" s="125"/>
      <c r="E470" s="88" t="s">
        <v>274</v>
      </c>
      <c r="F470" s="74">
        <v>227</v>
      </c>
      <c r="G470" s="86">
        <v>156</v>
      </c>
      <c r="H470" s="80">
        <f t="shared" si="77"/>
        <v>35412</v>
      </c>
      <c r="I470" s="86">
        <v>42</v>
      </c>
      <c r="J470" s="63">
        <f t="shared" si="84"/>
        <v>9534</v>
      </c>
      <c r="K470" s="63">
        <f t="shared" si="83"/>
        <v>44946</v>
      </c>
      <c r="N470" s="108">
        <f t="shared" si="82"/>
        <v>44946</v>
      </c>
    </row>
    <row r="471" spans="2:14" ht="21.75" customHeight="1">
      <c r="B471" s="78"/>
      <c r="C471" s="66" t="s">
        <v>839</v>
      </c>
      <c r="D471" s="125"/>
      <c r="E471" s="88" t="s">
        <v>274</v>
      </c>
      <c r="F471" s="74">
        <v>24</v>
      </c>
      <c r="G471" s="86">
        <v>930</v>
      </c>
      <c r="H471" s="80">
        <f t="shared" si="77"/>
        <v>22320</v>
      </c>
      <c r="I471" s="86">
        <v>110</v>
      </c>
      <c r="J471" s="63">
        <f t="shared" si="84"/>
        <v>2640</v>
      </c>
      <c r="K471" s="63">
        <f t="shared" si="83"/>
        <v>24960</v>
      </c>
      <c r="N471" s="108">
        <f t="shared" si="82"/>
        <v>24960</v>
      </c>
    </row>
    <row r="472" spans="2:14" ht="21.75" customHeight="1">
      <c r="B472" s="78"/>
      <c r="C472" s="66" t="s">
        <v>838</v>
      </c>
      <c r="D472" s="125"/>
      <c r="E472" s="88" t="s">
        <v>274</v>
      </c>
      <c r="F472" s="74">
        <v>24</v>
      </c>
      <c r="G472" s="86">
        <v>850</v>
      </c>
      <c r="H472" s="80">
        <f>F472*G472</f>
        <v>20400</v>
      </c>
      <c r="I472" s="86">
        <v>110</v>
      </c>
      <c r="J472" s="63">
        <f>F472*I472</f>
        <v>2640</v>
      </c>
      <c r="K472" s="63">
        <f t="shared" si="83"/>
        <v>23040</v>
      </c>
      <c r="N472" s="108">
        <f t="shared" si="82"/>
        <v>23040</v>
      </c>
    </row>
    <row r="473" spans="2:14" ht="21.75" customHeight="1">
      <c r="B473" s="78"/>
      <c r="C473" s="66" t="s">
        <v>313</v>
      </c>
      <c r="D473" s="125"/>
      <c r="E473" s="88" t="s">
        <v>321</v>
      </c>
      <c r="F473" s="74">
        <v>1</v>
      </c>
      <c r="G473" s="86">
        <f>SUM(H467:H472)*0.2</f>
        <v>43003.600000000006</v>
      </c>
      <c r="H473" s="80">
        <f t="shared" si="77"/>
        <v>43003.600000000006</v>
      </c>
      <c r="I473" s="86">
        <v>0</v>
      </c>
      <c r="J473" s="63">
        <f t="shared" si="84"/>
        <v>0</v>
      </c>
      <c r="K473" s="63">
        <f t="shared" si="83"/>
        <v>43003.600000000006</v>
      </c>
      <c r="N473" s="108">
        <f t="shared" si="82"/>
        <v>43003.600000000006</v>
      </c>
    </row>
    <row r="474" spans="2:14" ht="21.75" customHeight="1">
      <c r="B474" s="76">
        <v>15</v>
      </c>
      <c r="C474" s="66" t="s">
        <v>842</v>
      </c>
      <c r="D474" s="125"/>
      <c r="E474" s="88" t="s">
        <v>321</v>
      </c>
      <c r="F474" s="74">
        <v>1</v>
      </c>
      <c r="G474" s="86">
        <v>65000</v>
      </c>
      <c r="H474" s="80">
        <f>F474*G474</f>
        <v>65000</v>
      </c>
      <c r="I474" s="86">
        <v>2000</v>
      </c>
      <c r="J474" s="63">
        <f>F474*I474</f>
        <v>2000</v>
      </c>
      <c r="K474" s="63">
        <f>H474+J474</f>
        <v>67000</v>
      </c>
      <c r="N474" s="108">
        <f>(G474+I474)*F474</f>
        <v>67000</v>
      </c>
    </row>
    <row r="475" spans="2:14" ht="21.75" customHeight="1">
      <c r="B475" s="76">
        <v>16</v>
      </c>
      <c r="C475" s="82" t="s">
        <v>840</v>
      </c>
      <c r="D475" s="72"/>
      <c r="E475" s="51"/>
      <c r="F475" s="53"/>
      <c r="G475" s="53"/>
      <c r="H475" s="53"/>
      <c r="I475" s="53"/>
      <c r="J475" s="53"/>
      <c r="K475" s="53"/>
      <c r="N475" s="108">
        <f t="shared" si="82"/>
        <v>0</v>
      </c>
    </row>
    <row r="476" spans="2:14" ht="21.75" customHeight="1">
      <c r="B476" s="78"/>
      <c r="C476" s="82" t="s">
        <v>314</v>
      </c>
      <c r="D476" s="72"/>
      <c r="E476" s="51"/>
      <c r="F476" s="53"/>
      <c r="G476" s="53"/>
      <c r="H476" s="53"/>
      <c r="I476" s="53"/>
      <c r="J476" s="53"/>
      <c r="K476" s="53"/>
      <c r="N476" s="108">
        <f t="shared" si="82"/>
        <v>0</v>
      </c>
    </row>
    <row r="477" spans="2:14" ht="21.75" customHeight="1">
      <c r="B477" s="78"/>
      <c r="C477" s="82" t="s">
        <v>315</v>
      </c>
      <c r="D477" s="72"/>
      <c r="E477" s="88" t="s">
        <v>252</v>
      </c>
      <c r="F477" s="74">
        <v>1</v>
      </c>
      <c r="G477" s="86">
        <v>550000</v>
      </c>
      <c r="H477" s="80">
        <f aca="true" t="shared" si="85" ref="H477:H484">F477*G477</f>
        <v>550000</v>
      </c>
      <c r="I477" s="86">
        <v>40000</v>
      </c>
      <c r="J477" s="63">
        <f aca="true" t="shared" si="86" ref="J477:J484">F477*I477</f>
        <v>40000</v>
      </c>
      <c r="K477" s="63">
        <f aca="true" t="shared" si="87" ref="K477:K484">H477+J477</f>
        <v>590000</v>
      </c>
      <c r="N477" s="108">
        <f t="shared" si="82"/>
        <v>590000</v>
      </c>
    </row>
    <row r="478" spans="2:14" ht="21.75" customHeight="1">
      <c r="B478" s="76">
        <v>17</v>
      </c>
      <c r="C478" s="82" t="s">
        <v>843</v>
      </c>
      <c r="D478" s="72"/>
      <c r="E478" s="88" t="s">
        <v>252</v>
      </c>
      <c r="F478" s="74">
        <v>1</v>
      </c>
      <c r="G478" s="86">
        <v>120000</v>
      </c>
      <c r="H478" s="80">
        <f t="shared" si="85"/>
        <v>120000</v>
      </c>
      <c r="I478" s="86">
        <v>20000</v>
      </c>
      <c r="J478" s="63">
        <f t="shared" si="86"/>
        <v>20000</v>
      </c>
      <c r="K478" s="63">
        <f t="shared" si="87"/>
        <v>140000</v>
      </c>
      <c r="N478" s="108">
        <f>(G478+I478)*F478</f>
        <v>140000</v>
      </c>
    </row>
    <row r="479" spans="2:14" ht="21.75" customHeight="1">
      <c r="B479" s="76">
        <v>18</v>
      </c>
      <c r="C479" s="82" t="s">
        <v>582</v>
      </c>
      <c r="D479" s="72"/>
      <c r="E479" s="88" t="s">
        <v>252</v>
      </c>
      <c r="F479" s="74">
        <v>1</v>
      </c>
      <c r="G479" s="86">
        <v>2750000</v>
      </c>
      <c r="H479" s="80">
        <f t="shared" si="85"/>
        <v>2750000</v>
      </c>
      <c r="I479" s="86">
        <v>80000</v>
      </c>
      <c r="J479" s="63">
        <f t="shared" si="86"/>
        <v>80000</v>
      </c>
      <c r="K479" s="63">
        <f t="shared" si="87"/>
        <v>2830000</v>
      </c>
      <c r="N479" s="108">
        <f t="shared" si="82"/>
        <v>2830000</v>
      </c>
    </row>
    <row r="480" spans="2:14" ht="21.75" customHeight="1">
      <c r="B480" s="76">
        <v>19</v>
      </c>
      <c r="C480" s="66" t="s">
        <v>844</v>
      </c>
      <c r="D480" s="72"/>
      <c r="E480" s="88" t="s">
        <v>212</v>
      </c>
      <c r="F480" s="74">
        <v>90</v>
      </c>
      <c r="G480" s="86">
        <v>2000</v>
      </c>
      <c r="H480" s="80">
        <f t="shared" si="85"/>
        <v>180000</v>
      </c>
      <c r="I480" s="86">
        <v>0</v>
      </c>
      <c r="J480" s="63">
        <f t="shared" si="86"/>
        <v>0</v>
      </c>
      <c r="K480" s="63">
        <f t="shared" si="87"/>
        <v>180000</v>
      </c>
      <c r="N480" s="108">
        <f>(G480+I480)*F480</f>
        <v>180000</v>
      </c>
    </row>
    <row r="481" spans="2:14" ht="21.75" customHeight="1">
      <c r="B481" s="76">
        <v>20</v>
      </c>
      <c r="C481" s="66" t="s">
        <v>841</v>
      </c>
      <c r="D481" s="125"/>
      <c r="E481" s="88" t="s">
        <v>252</v>
      </c>
      <c r="F481" s="74">
        <v>10</v>
      </c>
      <c r="G481" s="86">
        <v>5500</v>
      </c>
      <c r="H481" s="80">
        <f t="shared" si="85"/>
        <v>55000</v>
      </c>
      <c r="I481" s="86">
        <v>300</v>
      </c>
      <c r="J481" s="63">
        <f t="shared" si="86"/>
        <v>3000</v>
      </c>
      <c r="K481" s="63">
        <f t="shared" si="87"/>
        <v>58000</v>
      </c>
      <c r="N481" s="108">
        <f>(G481+I481)*F481</f>
        <v>58000</v>
      </c>
    </row>
    <row r="482" spans="2:14" ht="21.75" customHeight="1">
      <c r="B482" s="76">
        <v>21</v>
      </c>
      <c r="C482" s="66" t="s">
        <v>807</v>
      </c>
      <c r="D482" s="125"/>
      <c r="E482" s="88" t="s">
        <v>252</v>
      </c>
      <c r="F482" s="74">
        <v>5</v>
      </c>
      <c r="G482" s="86">
        <v>3700</v>
      </c>
      <c r="H482" s="80">
        <f t="shared" si="85"/>
        <v>18500</v>
      </c>
      <c r="I482" s="86">
        <v>100</v>
      </c>
      <c r="J482" s="63">
        <f t="shared" si="86"/>
        <v>500</v>
      </c>
      <c r="K482" s="63">
        <f t="shared" si="87"/>
        <v>19000</v>
      </c>
      <c r="N482" s="108">
        <f>(G482+I482)*F482</f>
        <v>19000</v>
      </c>
    </row>
    <row r="483" spans="2:14" ht="21.75" customHeight="1">
      <c r="B483" s="76">
        <v>22</v>
      </c>
      <c r="C483" s="66" t="s">
        <v>845</v>
      </c>
      <c r="D483" s="125"/>
      <c r="E483" s="88" t="s">
        <v>252</v>
      </c>
      <c r="F483" s="74">
        <v>12</v>
      </c>
      <c r="G483" s="86">
        <v>4000</v>
      </c>
      <c r="H483" s="80">
        <f t="shared" si="85"/>
        <v>48000</v>
      </c>
      <c r="I483" s="86">
        <v>200</v>
      </c>
      <c r="J483" s="63">
        <f t="shared" si="86"/>
        <v>2400</v>
      </c>
      <c r="K483" s="63">
        <f t="shared" si="87"/>
        <v>50400</v>
      </c>
      <c r="N483" s="108">
        <f>(G483+I483)*F483</f>
        <v>50400</v>
      </c>
    </row>
    <row r="484" spans="2:14" ht="21.75" customHeight="1">
      <c r="B484" s="76">
        <v>23</v>
      </c>
      <c r="C484" s="66" t="s">
        <v>846</v>
      </c>
      <c r="D484" s="125"/>
      <c r="E484" s="88" t="s">
        <v>252</v>
      </c>
      <c r="F484" s="74">
        <v>12</v>
      </c>
      <c r="G484" s="86">
        <v>3200</v>
      </c>
      <c r="H484" s="80">
        <f t="shared" si="85"/>
        <v>38400</v>
      </c>
      <c r="I484" s="86">
        <v>150</v>
      </c>
      <c r="J484" s="63">
        <f t="shared" si="86"/>
        <v>1800</v>
      </c>
      <c r="K484" s="63">
        <f t="shared" si="87"/>
        <v>40200</v>
      </c>
      <c r="N484" s="108">
        <f t="shared" si="82"/>
        <v>40200</v>
      </c>
    </row>
    <row r="485" spans="2:14" ht="21.75" customHeight="1">
      <c r="B485" s="76"/>
      <c r="C485" s="66"/>
      <c r="D485" s="125"/>
      <c r="E485" s="88"/>
      <c r="F485" s="74"/>
      <c r="G485" s="86"/>
      <c r="H485" s="80"/>
      <c r="I485" s="86"/>
      <c r="J485" s="63"/>
      <c r="K485" s="63"/>
      <c r="N485" s="108">
        <f t="shared" si="82"/>
        <v>0</v>
      </c>
    </row>
    <row r="486" spans="2:14" ht="21.75" customHeight="1">
      <c r="B486" s="78"/>
      <c r="C486" s="702" t="s">
        <v>234</v>
      </c>
      <c r="D486" s="703"/>
      <c r="E486" s="75"/>
      <c r="F486" s="71"/>
      <c r="G486" s="71"/>
      <c r="H486" s="71">
        <f>SUM(H400:H484)</f>
        <v>8497283.5</v>
      </c>
      <c r="I486" s="71"/>
      <c r="J486" s="71">
        <f>SUM(J400:J484)</f>
        <v>713655</v>
      </c>
      <c r="K486" s="71">
        <f>SUM(K400:K484)</f>
        <v>9210938.5</v>
      </c>
      <c r="M486" s="65">
        <f>SUM(H486,J486)</f>
        <v>9210938.5</v>
      </c>
      <c r="N486" s="108">
        <f t="shared" si="82"/>
        <v>0</v>
      </c>
    </row>
    <row r="487" spans="2:14" ht="21.75" customHeight="1">
      <c r="B487" s="78"/>
      <c r="C487" s="124"/>
      <c r="D487" s="125"/>
      <c r="E487" s="75"/>
      <c r="F487" s="71"/>
      <c r="G487" s="71"/>
      <c r="H487" s="71"/>
      <c r="I487" s="71"/>
      <c r="J487" s="71"/>
      <c r="K487" s="71"/>
      <c r="M487" s="65"/>
      <c r="N487" s="108"/>
    </row>
    <row r="488" spans="2:14" ht="21.75" customHeight="1">
      <c r="B488" s="78"/>
      <c r="C488" s="124"/>
      <c r="D488" s="125"/>
      <c r="E488" s="75"/>
      <c r="F488" s="71"/>
      <c r="G488" s="71"/>
      <c r="H488" s="71"/>
      <c r="I488" s="71"/>
      <c r="J488" s="71"/>
      <c r="K488" s="71"/>
      <c r="M488" s="65"/>
      <c r="N488" s="108"/>
    </row>
    <row r="489" spans="2:14" ht="21.75" customHeight="1">
      <c r="B489" s="78"/>
      <c r="C489" s="702" t="s">
        <v>693</v>
      </c>
      <c r="D489" s="703"/>
      <c r="E489" s="51"/>
      <c r="F489" s="53"/>
      <c r="G489" s="53"/>
      <c r="H489" s="53"/>
      <c r="I489" s="53"/>
      <c r="J489" s="53"/>
      <c r="K489" s="53"/>
      <c r="N489" s="108">
        <f t="shared" si="82"/>
        <v>0</v>
      </c>
    </row>
    <row r="490" spans="2:14" ht="21.75" customHeight="1">
      <c r="B490" s="52">
        <v>1</v>
      </c>
      <c r="C490" s="82" t="s">
        <v>583</v>
      </c>
      <c r="D490" s="84"/>
      <c r="E490" s="51"/>
      <c r="F490" s="53"/>
      <c r="G490" s="53"/>
      <c r="H490" s="53"/>
      <c r="I490" s="53"/>
      <c r="J490" s="53"/>
      <c r="K490" s="53"/>
      <c r="N490" s="108">
        <f t="shared" si="82"/>
        <v>0</v>
      </c>
    </row>
    <row r="491" spans="2:14" ht="21.75" customHeight="1">
      <c r="B491" s="52"/>
      <c r="C491" s="82" t="s">
        <v>584</v>
      </c>
      <c r="D491" s="84"/>
      <c r="E491" s="79" t="s">
        <v>252</v>
      </c>
      <c r="F491" s="85">
        <v>1</v>
      </c>
      <c r="G491" s="86">
        <v>103350</v>
      </c>
      <c r="H491" s="80">
        <f>F491*G491</f>
        <v>103350</v>
      </c>
      <c r="I491" s="86">
        <v>0</v>
      </c>
      <c r="J491" s="63">
        <f aca="true" t="shared" si="88" ref="J491:J498">F491*I491</f>
        <v>0</v>
      </c>
      <c r="K491" s="63">
        <f>H491+J491</f>
        <v>103350</v>
      </c>
      <c r="N491" s="108">
        <f t="shared" si="82"/>
        <v>103350</v>
      </c>
    </row>
    <row r="492" spans="2:14" ht="21.75" customHeight="1">
      <c r="B492" s="52">
        <v>2</v>
      </c>
      <c r="C492" s="82" t="s">
        <v>585</v>
      </c>
      <c r="D492" s="84"/>
      <c r="E492" s="86"/>
      <c r="F492" s="85"/>
      <c r="G492" s="86"/>
      <c r="H492" s="80"/>
      <c r="I492" s="86"/>
      <c r="J492" s="63">
        <f t="shared" si="88"/>
        <v>0</v>
      </c>
      <c r="K492" s="63"/>
      <c r="N492" s="108">
        <f t="shared" si="82"/>
        <v>0</v>
      </c>
    </row>
    <row r="493" spans="2:14" ht="21.75" customHeight="1">
      <c r="B493" s="52"/>
      <c r="C493" s="82" t="s">
        <v>586</v>
      </c>
      <c r="D493" s="84"/>
      <c r="E493" s="79" t="s">
        <v>252</v>
      </c>
      <c r="F493" s="85">
        <v>1</v>
      </c>
      <c r="G493" s="86">
        <v>6000</v>
      </c>
      <c r="H493" s="80">
        <f aca="true" t="shared" si="89" ref="H493:H499">F493*G493</f>
        <v>6000</v>
      </c>
      <c r="I493" s="86">
        <v>0</v>
      </c>
      <c r="J493" s="63">
        <f t="shared" si="88"/>
        <v>0</v>
      </c>
      <c r="K493" s="63">
        <f aca="true" t="shared" si="90" ref="K493:K499">H493+J493</f>
        <v>6000</v>
      </c>
      <c r="N493" s="108">
        <f t="shared" si="82"/>
        <v>6000</v>
      </c>
    </row>
    <row r="494" spans="2:14" ht="21.75" customHeight="1">
      <c r="B494" s="52">
        <v>3</v>
      </c>
      <c r="C494" s="82" t="s">
        <v>587</v>
      </c>
      <c r="D494" s="84"/>
      <c r="E494" s="79" t="s">
        <v>274</v>
      </c>
      <c r="F494" s="85">
        <v>50</v>
      </c>
      <c r="G494" s="86">
        <v>715</v>
      </c>
      <c r="H494" s="80">
        <f t="shared" si="89"/>
        <v>35750</v>
      </c>
      <c r="I494" s="86">
        <v>0</v>
      </c>
      <c r="J494" s="63">
        <f t="shared" si="88"/>
        <v>0</v>
      </c>
      <c r="K494" s="63">
        <f t="shared" si="90"/>
        <v>35750</v>
      </c>
      <c r="N494" s="108">
        <f t="shared" si="82"/>
        <v>35750</v>
      </c>
    </row>
    <row r="495" spans="2:14" ht="21.75" customHeight="1">
      <c r="B495" s="52">
        <v>4</v>
      </c>
      <c r="C495" s="82" t="s">
        <v>588</v>
      </c>
      <c r="D495" s="84"/>
      <c r="E495" s="79" t="s">
        <v>274</v>
      </c>
      <c r="F495" s="85">
        <v>40</v>
      </c>
      <c r="G495" s="86">
        <v>49</v>
      </c>
      <c r="H495" s="80">
        <f t="shared" si="89"/>
        <v>1960</v>
      </c>
      <c r="I495" s="86">
        <v>0</v>
      </c>
      <c r="J495" s="63">
        <f t="shared" si="88"/>
        <v>0</v>
      </c>
      <c r="K495" s="63">
        <f t="shared" si="90"/>
        <v>1960</v>
      </c>
      <c r="N495" s="108">
        <f t="shared" si="82"/>
        <v>1960</v>
      </c>
    </row>
    <row r="496" spans="2:14" ht="21.75" customHeight="1">
      <c r="B496" s="52">
        <v>5</v>
      </c>
      <c r="C496" s="82" t="s">
        <v>589</v>
      </c>
      <c r="D496" s="84"/>
      <c r="E496" s="79" t="s">
        <v>321</v>
      </c>
      <c r="F496" s="85">
        <v>1</v>
      </c>
      <c r="G496" s="86">
        <v>4500</v>
      </c>
      <c r="H496" s="80">
        <f t="shared" si="89"/>
        <v>4500</v>
      </c>
      <c r="I496" s="86">
        <v>0</v>
      </c>
      <c r="J496" s="63">
        <f t="shared" si="88"/>
        <v>0</v>
      </c>
      <c r="K496" s="63">
        <f t="shared" si="90"/>
        <v>4500</v>
      </c>
      <c r="N496" s="108">
        <f t="shared" si="82"/>
        <v>4500</v>
      </c>
    </row>
    <row r="497" spans="2:14" ht="21.75" customHeight="1">
      <c r="B497" s="52">
        <v>6</v>
      </c>
      <c r="C497" s="82" t="s">
        <v>316</v>
      </c>
      <c r="D497" s="84"/>
      <c r="E497" s="79" t="s">
        <v>252</v>
      </c>
      <c r="F497" s="85">
        <v>1</v>
      </c>
      <c r="G497" s="86">
        <v>17000</v>
      </c>
      <c r="H497" s="80">
        <f t="shared" si="89"/>
        <v>17000</v>
      </c>
      <c r="I497" s="86">
        <v>0</v>
      </c>
      <c r="J497" s="63">
        <f t="shared" si="88"/>
        <v>0</v>
      </c>
      <c r="K497" s="63">
        <f t="shared" si="90"/>
        <v>17000</v>
      </c>
      <c r="N497" s="108">
        <f t="shared" si="82"/>
        <v>17000</v>
      </c>
    </row>
    <row r="498" spans="2:14" ht="21.75" customHeight="1">
      <c r="B498" s="52">
        <v>7</v>
      </c>
      <c r="C498" s="82" t="s">
        <v>590</v>
      </c>
      <c r="D498" s="84"/>
      <c r="E498" s="79" t="s">
        <v>321</v>
      </c>
      <c r="F498" s="85">
        <v>1</v>
      </c>
      <c r="G498" s="86">
        <v>8000</v>
      </c>
      <c r="H498" s="80">
        <f t="shared" si="89"/>
        <v>8000</v>
      </c>
      <c r="I498" s="86">
        <v>0</v>
      </c>
      <c r="J498" s="63">
        <f t="shared" si="88"/>
        <v>0</v>
      </c>
      <c r="K498" s="63">
        <f t="shared" si="90"/>
        <v>8000</v>
      </c>
      <c r="N498" s="108">
        <f t="shared" si="82"/>
        <v>8000</v>
      </c>
    </row>
    <row r="499" spans="2:14" ht="21.75" customHeight="1">
      <c r="B499" s="52">
        <v>8</v>
      </c>
      <c r="C499" s="66" t="s">
        <v>591</v>
      </c>
      <c r="D499" s="87"/>
      <c r="E499" s="79" t="s">
        <v>321</v>
      </c>
      <c r="F499" s="85">
        <v>1</v>
      </c>
      <c r="G499" s="86">
        <v>0</v>
      </c>
      <c r="H499" s="80">
        <f t="shared" si="89"/>
        <v>0</v>
      </c>
      <c r="I499" s="86">
        <v>20000</v>
      </c>
      <c r="J499" s="63">
        <f>F499*I499</f>
        <v>20000</v>
      </c>
      <c r="K499" s="63">
        <f t="shared" si="90"/>
        <v>20000</v>
      </c>
      <c r="N499" s="108">
        <f t="shared" si="82"/>
        <v>20000</v>
      </c>
    </row>
    <row r="500" spans="2:14" ht="21.75" customHeight="1">
      <c r="B500" s="52"/>
      <c r="C500" s="66"/>
      <c r="D500" s="87"/>
      <c r="E500" s="79"/>
      <c r="F500" s="85"/>
      <c r="G500" s="86"/>
      <c r="H500" s="80"/>
      <c r="I500" s="86"/>
      <c r="J500" s="63"/>
      <c r="K500" s="63"/>
      <c r="N500" s="108">
        <f t="shared" si="82"/>
        <v>0</v>
      </c>
    </row>
    <row r="501" spans="2:14" ht="21.75" customHeight="1">
      <c r="B501" s="76"/>
      <c r="C501" s="702" t="s">
        <v>234</v>
      </c>
      <c r="D501" s="703"/>
      <c r="E501" s="75"/>
      <c r="F501" s="71"/>
      <c r="G501" s="71"/>
      <c r="H501" s="71">
        <f>SUM(H491:H499)</f>
        <v>176560</v>
      </c>
      <c r="I501" s="71"/>
      <c r="J501" s="71">
        <f>SUM(J491:J499)</f>
        <v>20000</v>
      </c>
      <c r="K501" s="71">
        <f>SUM(K491:K499)</f>
        <v>196560</v>
      </c>
      <c r="M501" s="65">
        <f>SUM(H501,J501)</f>
        <v>196560</v>
      </c>
      <c r="N501" s="108">
        <f t="shared" si="82"/>
        <v>0</v>
      </c>
    </row>
    <row r="502" spans="2:14" ht="21.75" customHeight="1">
      <c r="B502" s="76"/>
      <c r="C502" s="54"/>
      <c r="D502" s="54"/>
      <c r="E502" s="51"/>
      <c r="F502" s="53"/>
      <c r="G502" s="53"/>
      <c r="H502" s="53"/>
      <c r="I502" s="53"/>
      <c r="J502" s="53"/>
      <c r="K502" s="53"/>
      <c r="N502" s="108">
        <f t="shared" si="82"/>
        <v>0</v>
      </c>
    </row>
    <row r="503" spans="2:14" ht="21.75" customHeight="1">
      <c r="B503" s="76"/>
      <c r="C503" s="54"/>
      <c r="D503" s="54"/>
      <c r="E503" s="51"/>
      <c r="F503" s="53"/>
      <c r="G503" s="53"/>
      <c r="H503" s="53"/>
      <c r="I503" s="53"/>
      <c r="J503" s="53"/>
      <c r="K503" s="53"/>
      <c r="N503" s="108"/>
    </row>
    <row r="504" spans="2:14" ht="21.75" customHeight="1">
      <c r="B504" s="78"/>
      <c r="C504" s="722" t="s">
        <v>694</v>
      </c>
      <c r="D504" s="723"/>
      <c r="E504" s="51"/>
      <c r="F504" s="53"/>
      <c r="G504" s="53"/>
      <c r="H504" s="53"/>
      <c r="I504" s="53"/>
      <c r="J504" s="53"/>
      <c r="K504" s="53"/>
      <c r="N504" s="108">
        <f t="shared" si="82"/>
        <v>0</v>
      </c>
    </row>
    <row r="505" spans="2:14" ht="21.75" customHeight="1">
      <c r="B505" s="52">
        <v>1</v>
      </c>
      <c r="C505" s="66" t="s">
        <v>318</v>
      </c>
      <c r="D505" s="127"/>
      <c r="E505" s="88" t="s">
        <v>252</v>
      </c>
      <c r="F505" s="89">
        <v>1</v>
      </c>
      <c r="G505" s="86">
        <v>6500</v>
      </c>
      <c r="H505" s="80">
        <f aca="true" t="shared" si="91" ref="H505:H514">F505*G505</f>
        <v>6500</v>
      </c>
      <c r="I505" s="86">
        <v>1000</v>
      </c>
      <c r="J505" s="63">
        <f aca="true" t="shared" si="92" ref="J505:J514">F505*I505</f>
        <v>1000</v>
      </c>
      <c r="K505" s="63">
        <f>H505+J505</f>
        <v>7500</v>
      </c>
      <c r="N505" s="108">
        <f t="shared" si="82"/>
        <v>7500</v>
      </c>
    </row>
    <row r="506" spans="2:14" ht="21.75" customHeight="1">
      <c r="B506" s="52">
        <v>2</v>
      </c>
      <c r="C506" s="66" t="s">
        <v>592</v>
      </c>
      <c r="D506" s="127"/>
      <c r="E506" s="88"/>
      <c r="F506" s="89"/>
      <c r="G506" s="86"/>
      <c r="H506" s="80"/>
      <c r="I506" s="86"/>
      <c r="J506" s="63"/>
      <c r="K506" s="63"/>
      <c r="N506" s="108">
        <f t="shared" si="82"/>
        <v>0</v>
      </c>
    </row>
    <row r="507" spans="2:14" ht="21.75" customHeight="1">
      <c r="B507" s="52"/>
      <c r="C507" s="66" t="s">
        <v>593</v>
      </c>
      <c r="D507" s="127"/>
      <c r="E507" s="88" t="s">
        <v>252</v>
      </c>
      <c r="F507" s="89">
        <v>1</v>
      </c>
      <c r="G507" s="86">
        <v>2600</v>
      </c>
      <c r="H507" s="80">
        <f>F507*G507</f>
        <v>2600</v>
      </c>
      <c r="I507" s="86">
        <v>200</v>
      </c>
      <c r="J507" s="63">
        <f>F507*I507</f>
        <v>200</v>
      </c>
      <c r="K507" s="63">
        <f aca="true" t="shared" si="93" ref="K507:K514">H507+J507</f>
        <v>2800</v>
      </c>
      <c r="N507" s="108">
        <f t="shared" si="82"/>
        <v>2800</v>
      </c>
    </row>
    <row r="508" spans="2:14" ht="21.75" customHeight="1">
      <c r="B508" s="52"/>
      <c r="C508" s="66" t="s">
        <v>594</v>
      </c>
      <c r="D508" s="127"/>
      <c r="E508" s="88" t="s">
        <v>252</v>
      </c>
      <c r="F508" s="89">
        <v>2</v>
      </c>
      <c r="G508" s="86">
        <v>1950</v>
      </c>
      <c r="H508" s="80">
        <f>F508*G508</f>
        <v>3900</v>
      </c>
      <c r="I508" s="86">
        <v>200</v>
      </c>
      <c r="J508" s="63">
        <f>F508*I508</f>
        <v>400</v>
      </c>
      <c r="K508" s="63">
        <f t="shared" si="93"/>
        <v>4300</v>
      </c>
      <c r="N508" s="108">
        <f t="shared" si="82"/>
        <v>4300</v>
      </c>
    </row>
    <row r="509" spans="2:14" ht="21.75" customHeight="1">
      <c r="B509" s="52">
        <v>3</v>
      </c>
      <c r="C509" s="82" t="s">
        <v>319</v>
      </c>
      <c r="D509" s="90"/>
      <c r="E509" s="88" t="s">
        <v>252</v>
      </c>
      <c r="F509" s="89">
        <v>57</v>
      </c>
      <c r="G509" s="86">
        <v>200</v>
      </c>
      <c r="H509" s="80">
        <f t="shared" si="91"/>
        <v>11400</v>
      </c>
      <c r="I509" s="86">
        <v>80</v>
      </c>
      <c r="J509" s="63">
        <f t="shared" si="92"/>
        <v>4560</v>
      </c>
      <c r="K509" s="63">
        <f t="shared" si="93"/>
        <v>15960</v>
      </c>
      <c r="N509" s="108">
        <f t="shared" si="82"/>
        <v>15960</v>
      </c>
    </row>
    <row r="510" spans="2:14" ht="21.75" customHeight="1">
      <c r="B510" s="52">
        <v>4</v>
      </c>
      <c r="C510" s="82" t="s">
        <v>595</v>
      </c>
      <c r="D510" s="90"/>
      <c r="E510" s="88" t="s">
        <v>274</v>
      </c>
      <c r="F510" s="89">
        <v>10</v>
      </c>
      <c r="G510" s="86">
        <v>124</v>
      </c>
      <c r="H510" s="80">
        <f t="shared" si="91"/>
        <v>1240</v>
      </c>
      <c r="I510" s="86">
        <v>30</v>
      </c>
      <c r="J510" s="63">
        <f t="shared" si="92"/>
        <v>300</v>
      </c>
      <c r="K510" s="63">
        <f t="shared" si="93"/>
        <v>1540</v>
      </c>
      <c r="N510" s="108">
        <f t="shared" si="82"/>
        <v>1540</v>
      </c>
    </row>
    <row r="511" spans="2:14" ht="21.75" customHeight="1">
      <c r="B511" s="52">
        <v>5</v>
      </c>
      <c r="C511" s="82" t="s">
        <v>596</v>
      </c>
      <c r="D511" s="90"/>
      <c r="E511" s="88" t="s">
        <v>274</v>
      </c>
      <c r="F511" s="89">
        <v>35</v>
      </c>
      <c r="G511" s="86">
        <v>44</v>
      </c>
      <c r="H511" s="80">
        <f t="shared" si="91"/>
        <v>1540</v>
      </c>
      <c r="I511" s="86">
        <v>16</v>
      </c>
      <c r="J511" s="63">
        <f t="shared" si="92"/>
        <v>560</v>
      </c>
      <c r="K511" s="63">
        <f t="shared" si="93"/>
        <v>2100</v>
      </c>
      <c r="N511" s="108">
        <f t="shared" si="82"/>
        <v>2100</v>
      </c>
    </row>
    <row r="512" spans="2:14" ht="21.75" customHeight="1">
      <c r="B512" s="52">
        <v>6</v>
      </c>
      <c r="C512" s="82" t="s">
        <v>597</v>
      </c>
      <c r="D512" s="90"/>
      <c r="E512" s="88" t="s">
        <v>274</v>
      </c>
      <c r="F512" s="89">
        <v>9</v>
      </c>
      <c r="G512" s="86">
        <v>93</v>
      </c>
      <c r="H512" s="80">
        <f>F512*G512</f>
        <v>837</v>
      </c>
      <c r="I512" s="86">
        <v>32</v>
      </c>
      <c r="J512" s="63">
        <f>F512*I512</f>
        <v>288</v>
      </c>
      <c r="K512" s="63">
        <f t="shared" si="93"/>
        <v>1125</v>
      </c>
      <c r="N512" s="108">
        <f t="shared" si="82"/>
        <v>1125</v>
      </c>
    </row>
    <row r="513" spans="2:14" ht="21.75" customHeight="1">
      <c r="B513" s="52">
        <v>6</v>
      </c>
      <c r="C513" s="82" t="s">
        <v>598</v>
      </c>
      <c r="D513" s="90"/>
      <c r="E513" s="88" t="s">
        <v>274</v>
      </c>
      <c r="F513" s="89">
        <v>33</v>
      </c>
      <c r="G513" s="86">
        <v>37</v>
      </c>
      <c r="H513" s="80">
        <f t="shared" si="91"/>
        <v>1221</v>
      </c>
      <c r="I513" s="86">
        <v>24</v>
      </c>
      <c r="J513" s="63">
        <f t="shared" si="92"/>
        <v>792</v>
      </c>
      <c r="K513" s="63">
        <f t="shared" si="93"/>
        <v>2013</v>
      </c>
      <c r="N513" s="108">
        <f t="shared" si="82"/>
        <v>2013</v>
      </c>
    </row>
    <row r="514" spans="2:14" ht="21.75" customHeight="1">
      <c r="B514" s="52">
        <v>7</v>
      </c>
      <c r="C514" s="82" t="s">
        <v>317</v>
      </c>
      <c r="D514" s="90"/>
      <c r="E514" s="88" t="s">
        <v>321</v>
      </c>
      <c r="F514" s="89">
        <v>1</v>
      </c>
      <c r="G514" s="86">
        <f>SUM(H510:H511)*0.1+(H512+H513)*0.2</f>
        <v>689.6</v>
      </c>
      <c r="H514" s="80">
        <f t="shared" si="91"/>
        <v>689.6</v>
      </c>
      <c r="I514" s="86">
        <v>0</v>
      </c>
      <c r="J514" s="63">
        <f t="shared" si="92"/>
        <v>0</v>
      </c>
      <c r="K514" s="63">
        <f t="shared" si="93"/>
        <v>689.6</v>
      </c>
      <c r="N514" s="108">
        <f t="shared" si="82"/>
        <v>689.6</v>
      </c>
    </row>
    <row r="515" spans="2:14" ht="21.75" customHeight="1">
      <c r="B515" s="52">
        <v>8</v>
      </c>
      <c r="C515" s="82" t="s">
        <v>599</v>
      </c>
      <c r="D515" s="72"/>
      <c r="E515" s="88" t="s">
        <v>321</v>
      </c>
      <c r="F515" s="89">
        <v>1</v>
      </c>
      <c r="G515" s="86">
        <v>240000</v>
      </c>
      <c r="H515" s="80">
        <f>F515*G515</f>
        <v>240000</v>
      </c>
      <c r="I515" s="86">
        <v>10000</v>
      </c>
      <c r="J515" s="63">
        <f>F515*I515</f>
        <v>10000</v>
      </c>
      <c r="K515" s="63">
        <f>H515+J515</f>
        <v>250000</v>
      </c>
      <c r="N515" s="108">
        <f t="shared" si="82"/>
        <v>250000</v>
      </c>
    </row>
    <row r="516" spans="2:14" ht="21.75" customHeight="1">
      <c r="B516" s="52">
        <v>9</v>
      </c>
      <c r="C516" s="82" t="s">
        <v>600</v>
      </c>
      <c r="D516" s="72"/>
      <c r="E516" s="88" t="s">
        <v>326</v>
      </c>
      <c r="F516" s="89">
        <v>57</v>
      </c>
      <c r="G516" s="86">
        <v>1200</v>
      </c>
      <c r="H516" s="80">
        <f>F516*G516</f>
        <v>68400</v>
      </c>
      <c r="I516" s="86">
        <v>0</v>
      </c>
      <c r="J516" s="63">
        <f>F516*I516</f>
        <v>0</v>
      </c>
      <c r="K516" s="63">
        <f>H516+J516</f>
        <v>68400</v>
      </c>
      <c r="N516" s="108">
        <f t="shared" si="82"/>
        <v>68400</v>
      </c>
    </row>
    <row r="517" spans="2:14" ht="21.75" customHeight="1">
      <c r="B517" s="52">
        <v>10</v>
      </c>
      <c r="C517" s="82" t="s">
        <v>601</v>
      </c>
      <c r="D517" s="72"/>
      <c r="E517" s="88" t="s">
        <v>326</v>
      </c>
      <c r="F517" s="89">
        <v>2</v>
      </c>
      <c r="G517" s="86">
        <v>8000</v>
      </c>
      <c r="H517" s="80">
        <f>F517*G517</f>
        <v>16000</v>
      </c>
      <c r="I517" s="86">
        <v>0</v>
      </c>
      <c r="J517" s="63">
        <f>F517*I517</f>
        <v>0</v>
      </c>
      <c r="K517" s="63">
        <f>H517+J517</f>
        <v>16000</v>
      </c>
      <c r="N517" s="108">
        <f>(G517+I517)*F517</f>
        <v>16000</v>
      </c>
    </row>
    <row r="518" spans="2:14" ht="21.75" customHeight="1">
      <c r="B518" s="52">
        <v>11</v>
      </c>
      <c r="C518" s="82" t="s">
        <v>847</v>
      </c>
      <c r="D518" s="72"/>
      <c r="E518" s="88" t="s">
        <v>233</v>
      </c>
      <c r="F518" s="89">
        <v>57</v>
      </c>
      <c r="G518" s="86">
        <v>600</v>
      </c>
      <c r="H518" s="80">
        <f>F518*G518</f>
        <v>34200</v>
      </c>
      <c r="I518" s="86">
        <v>150</v>
      </c>
      <c r="J518" s="63">
        <f>F518*I518</f>
        <v>8550</v>
      </c>
      <c r="K518" s="63">
        <f>H518+J518</f>
        <v>42750</v>
      </c>
      <c r="N518" s="108">
        <f t="shared" si="82"/>
        <v>42750</v>
      </c>
    </row>
    <row r="519" spans="2:14" ht="21.75" customHeight="1">
      <c r="B519" s="52"/>
      <c r="C519" s="66"/>
      <c r="D519" s="72"/>
      <c r="E519" s="88"/>
      <c r="F519" s="89"/>
      <c r="G519" s="86"/>
      <c r="H519" s="80"/>
      <c r="I519" s="86"/>
      <c r="J519" s="63"/>
      <c r="K519" s="63"/>
      <c r="N519" s="108">
        <f t="shared" si="82"/>
        <v>0</v>
      </c>
    </row>
    <row r="520" spans="2:14" ht="21.75" customHeight="1">
      <c r="B520" s="78"/>
      <c r="C520" s="702" t="s">
        <v>234</v>
      </c>
      <c r="D520" s="703"/>
      <c r="E520" s="75"/>
      <c r="F520" s="71"/>
      <c r="G520" s="71"/>
      <c r="H520" s="71">
        <f>SUM(H505:H518)</f>
        <v>388527.6</v>
      </c>
      <c r="I520" s="71"/>
      <c r="J520" s="71">
        <f>SUM(J505:J518)</f>
        <v>26650</v>
      </c>
      <c r="K520" s="71">
        <f>SUM(K505:K518)</f>
        <v>415177.6</v>
      </c>
      <c r="M520" s="65">
        <f>SUM(H520,J520)</f>
        <v>415177.6</v>
      </c>
      <c r="N520" s="108">
        <f t="shared" si="82"/>
        <v>0</v>
      </c>
    </row>
    <row r="521" spans="2:14" ht="21.75" customHeight="1">
      <c r="B521" s="78"/>
      <c r="C521" s="54"/>
      <c r="D521" s="54"/>
      <c r="E521" s="51"/>
      <c r="F521" s="53"/>
      <c r="G521" s="53"/>
      <c r="H521" s="53"/>
      <c r="I521" s="53"/>
      <c r="J521" s="53"/>
      <c r="K521" s="53"/>
      <c r="N521" s="108">
        <f t="shared" si="82"/>
        <v>0</v>
      </c>
    </row>
    <row r="522" spans="2:14" ht="21.75" customHeight="1">
      <c r="B522" s="78"/>
      <c r="C522" s="54"/>
      <c r="D522" s="54"/>
      <c r="E522" s="51"/>
      <c r="F522" s="53"/>
      <c r="G522" s="53"/>
      <c r="H522" s="53"/>
      <c r="I522" s="53"/>
      <c r="J522" s="53"/>
      <c r="K522" s="53"/>
      <c r="N522" s="108"/>
    </row>
    <row r="523" spans="2:14" ht="21.75" customHeight="1">
      <c r="B523" s="78"/>
      <c r="C523" s="54"/>
      <c r="D523" s="54"/>
      <c r="E523" s="51"/>
      <c r="F523" s="53"/>
      <c r="G523" s="53"/>
      <c r="H523" s="53"/>
      <c r="I523" s="53"/>
      <c r="J523" s="53"/>
      <c r="K523" s="53"/>
      <c r="N523" s="108"/>
    </row>
    <row r="524" spans="2:14" ht="21.75" customHeight="1">
      <c r="B524" s="78"/>
      <c r="C524" s="54"/>
      <c r="D524" s="54"/>
      <c r="E524" s="51"/>
      <c r="F524" s="53"/>
      <c r="G524" s="53"/>
      <c r="H524" s="53"/>
      <c r="I524" s="53"/>
      <c r="J524" s="53"/>
      <c r="K524" s="53"/>
      <c r="N524" s="108"/>
    </row>
    <row r="525" spans="2:14" ht="21.75" customHeight="1">
      <c r="B525" s="78"/>
      <c r="C525" s="54"/>
      <c r="D525" s="54"/>
      <c r="E525" s="51"/>
      <c r="F525" s="53"/>
      <c r="G525" s="53"/>
      <c r="H525" s="53"/>
      <c r="I525" s="53"/>
      <c r="J525" s="53"/>
      <c r="K525" s="53"/>
      <c r="N525" s="108"/>
    </row>
    <row r="526" spans="2:14" ht="21.75" customHeight="1">
      <c r="B526" s="78"/>
      <c r="C526" s="704" t="s">
        <v>695</v>
      </c>
      <c r="D526" s="705"/>
      <c r="E526" s="51"/>
      <c r="F526" s="53"/>
      <c r="G526" s="53"/>
      <c r="H526" s="53"/>
      <c r="I526" s="53"/>
      <c r="J526" s="53"/>
      <c r="K526" s="53"/>
      <c r="N526" s="108">
        <f t="shared" si="82"/>
        <v>0</v>
      </c>
    </row>
    <row r="527" spans="2:14" ht="21.75" customHeight="1">
      <c r="B527" s="76">
        <v>1</v>
      </c>
      <c r="C527" s="82" t="s">
        <v>602</v>
      </c>
      <c r="D527" s="72"/>
      <c r="E527" s="88" t="s">
        <v>252</v>
      </c>
      <c r="F527" s="85">
        <v>4</v>
      </c>
      <c r="G527" s="86">
        <v>10000</v>
      </c>
      <c r="H527" s="80">
        <f>F527*G527</f>
        <v>40000</v>
      </c>
      <c r="I527" s="86">
        <v>1000</v>
      </c>
      <c r="J527" s="63">
        <f>F527*I527</f>
        <v>4000</v>
      </c>
      <c r="K527" s="63">
        <f>H527+J527</f>
        <v>44000</v>
      </c>
      <c r="N527" s="108">
        <f aca="true" t="shared" si="94" ref="N527:N603">(G527+I527)*F527</f>
        <v>44000</v>
      </c>
    </row>
    <row r="528" spans="2:14" ht="21.75" customHeight="1">
      <c r="B528" s="76">
        <v>2</v>
      </c>
      <c r="C528" s="82" t="s">
        <v>603</v>
      </c>
      <c r="D528" s="72"/>
      <c r="E528" s="88" t="s">
        <v>252</v>
      </c>
      <c r="F528" s="85">
        <v>5</v>
      </c>
      <c r="G528" s="86">
        <v>1450</v>
      </c>
      <c r="H528" s="80">
        <f>F528*G528</f>
        <v>7250</v>
      </c>
      <c r="I528" s="86">
        <v>80</v>
      </c>
      <c r="J528" s="63">
        <f>F528*I528</f>
        <v>400</v>
      </c>
      <c r="K528" s="63">
        <f>H528+J528</f>
        <v>7650</v>
      </c>
      <c r="N528" s="108">
        <f t="shared" si="94"/>
        <v>7650</v>
      </c>
    </row>
    <row r="529" spans="2:14" ht="21.75" customHeight="1">
      <c r="B529" s="76">
        <v>3</v>
      </c>
      <c r="C529" s="82" t="s">
        <v>604</v>
      </c>
      <c r="D529" s="72"/>
      <c r="E529" s="88" t="s">
        <v>252</v>
      </c>
      <c r="F529" s="85">
        <v>5</v>
      </c>
      <c r="G529" s="86">
        <v>750</v>
      </c>
      <c r="H529" s="80">
        <f>F529*G529</f>
        <v>3750</v>
      </c>
      <c r="I529" s="86">
        <v>80</v>
      </c>
      <c r="J529" s="63">
        <f>F529*I529</f>
        <v>400</v>
      </c>
      <c r="K529" s="63">
        <f>H529+J529</f>
        <v>4150</v>
      </c>
      <c r="N529" s="108">
        <f t="shared" si="94"/>
        <v>4150</v>
      </c>
    </row>
    <row r="530" spans="2:14" ht="21.75" customHeight="1">
      <c r="B530" s="76">
        <v>4</v>
      </c>
      <c r="C530" s="82" t="s">
        <v>605</v>
      </c>
      <c r="D530" s="72"/>
      <c r="E530" s="88" t="s">
        <v>252</v>
      </c>
      <c r="F530" s="85">
        <v>28</v>
      </c>
      <c r="G530" s="86">
        <v>720</v>
      </c>
      <c r="H530" s="80">
        <f>F530*G530</f>
        <v>20160</v>
      </c>
      <c r="I530" s="86">
        <v>80</v>
      </c>
      <c r="J530" s="63">
        <f>F530*I530</f>
        <v>2240</v>
      </c>
      <c r="K530" s="63">
        <f>H530+J530</f>
        <v>22400</v>
      </c>
      <c r="N530" s="108">
        <f t="shared" si="94"/>
        <v>22400</v>
      </c>
    </row>
    <row r="531" spans="2:14" ht="21.75" customHeight="1">
      <c r="B531" s="76">
        <v>5</v>
      </c>
      <c r="C531" s="82" t="s">
        <v>606</v>
      </c>
      <c r="D531" s="72"/>
      <c r="E531" s="88"/>
      <c r="F531" s="85"/>
      <c r="G531" s="86"/>
      <c r="H531" s="80"/>
      <c r="I531" s="86"/>
      <c r="J531" s="63"/>
      <c r="K531" s="63"/>
      <c r="N531" s="108">
        <f t="shared" si="94"/>
        <v>0</v>
      </c>
    </row>
    <row r="532" spans="2:14" ht="21.75" customHeight="1">
      <c r="B532" s="76"/>
      <c r="C532" s="66" t="s">
        <v>607</v>
      </c>
      <c r="D532" s="72"/>
      <c r="E532" s="88" t="s">
        <v>252</v>
      </c>
      <c r="F532" s="85">
        <v>57</v>
      </c>
      <c r="G532" s="86">
        <v>2000</v>
      </c>
      <c r="H532" s="80">
        <f aca="true" t="shared" si="95" ref="H532:H538">F532*G532</f>
        <v>114000</v>
      </c>
      <c r="I532" s="86">
        <v>80</v>
      </c>
      <c r="J532" s="63">
        <f aca="true" t="shared" si="96" ref="J532:J538">F532*I532</f>
        <v>4560</v>
      </c>
      <c r="K532" s="63">
        <f aca="true" t="shared" si="97" ref="K532:K538">H532+J532</f>
        <v>118560</v>
      </c>
      <c r="N532" s="108">
        <f t="shared" si="94"/>
        <v>118560</v>
      </c>
    </row>
    <row r="533" spans="2:14" ht="21.75" customHeight="1">
      <c r="B533" s="76">
        <v>6</v>
      </c>
      <c r="C533" s="82" t="s">
        <v>320</v>
      </c>
      <c r="D533" s="72"/>
      <c r="E533" s="88" t="s">
        <v>252</v>
      </c>
      <c r="F533" s="85">
        <v>4</v>
      </c>
      <c r="G533" s="86">
        <v>1000</v>
      </c>
      <c r="H533" s="80">
        <f t="shared" si="95"/>
        <v>4000</v>
      </c>
      <c r="I533" s="86">
        <v>200</v>
      </c>
      <c r="J533" s="63">
        <f t="shared" si="96"/>
        <v>800</v>
      </c>
      <c r="K533" s="63">
        <f t="shared" si="97"/>
        <v>4800</v>
      </c>
      <c r="N533" s="108">
        <f t="shared" si="94"/>
        <v>4800</v>
      </c>
    </row>
    <row r="534" spans="2:14" ht="21.75" customHeight="1">
      <c r="B534" s="76">
        <v>7</v>
      </c>
      <c r="C534" s="82" t="s">
        <v>608</v>
      </c>
      <c r="D534" s="72"/>
      <c r="E534" s="88" t="s">
        <v>252</v>
      </c>
      <c r="F534" s="85">
        <v>85</v>
      </c>
      <c r="G534" s="86">
        <v>100</v>
      </c>
      <c r="H534" s="80">
        <f t="shared" si="95"/>
        <v>8500</v>
      </c>
      <c r="I534" s="86">
        <v>0</v>
      </c>
      <c r="J534" s="63">
        <f t="shared" si="96"/>
        <v>0</v>
      </c>
      <c r="K534" s="63">
        <f t="shared" si="97"/>
        <v>8500</v>
      </c>
      <c r="N534" s="108">
        <f t="shared" si="94"/>
        <v>8500</v>
      </c>
    </row>
    <row r="535" spans="2:14" ht="21.75" customHeight="1">
      <c r="B535" s="76">
        <v>8</v>
      </c>
      <c r="C535" s="82" t="s">
        <v>848</v>
      </c>
      <c r="D535" s="72"/>
      <c r="E535" s="88" t="s">
        <v>252</v>
      </c>
      <c r="F535" s="85">
        <v>1</v>
      </c>
      <c r="G535" s="86">
        <v>23200</v>
      </c>
      <c r="H535" s="80">
        <f t="shared" si="95"/>
        <v>23200</v>
      </c>
      <c r="I535" s="86">
        <v>3000</v>
      </c>
      <c r="J535" s="63">
        <f t="shared" si="96"/>
        <v>3000</v>
      </c>
      <c r="K535" s="63">
        <f t="shared" si="97"/>
        <v>26200</v>
      </c>
      <c r="N535" s="108">
        <f t="shared" si="94"/>
        <v>26200</v>
      </c>
    </row>
    <row r="536" spans="2:14" ht="21.75" customHeight="1">
      <c r="B536" s="76">
        <v>9</v>
      </c>
      <c r="C536" s="66" t="s">
        <v>849</v>
      </c>
      <c r="D536" s="72"/>
      <c r="E536" s="88" t="s">
        <v>251</v>
      </c>
      <c r="F536" s="85">
        <v>850</v>
      </c>
      <c r="G536" s="86">
        <v>26</v>
      </c>
      <c r="H536" s="80">
        <f t="shared" si="95"/>
        <v>22100</v>
      </c>
      <c r="I536" s="86">
        <v>22</v>
      </c>
      <c r="J536" s="63">
        <f t="shared" si="96"/>
        <v>18700</v>
      </c>
      <c r="K536" s="63">
        <f t="shared" si="97"/>
        <v>40800</v>
      </c>
      <c r="N536" s="108">
        <f t="shared" si="94"/>
        <v>40800</v>
      </c>
    </row>
    <row r="537" spans="2:14" ht="21.75" customHeight="1">
      <c r="B537" s="76">
        <v>10</v>
      </c>
      <c r="C537" s="66" t="s">
        <v>850</v>
      </c>
      <c r="D537" s="72"/>
      <c r="E537" s="88" t="s">
        <v>251</v>
      </c>
      <c r="F537" s="389">
        <v>1900</v>
      </c>
      <c r="G537" s="86">
        <v>23</v>
      </c>
      <c r="H537" s="80">
        <f t="shared" si="95"/>
        <v>43700</v>
      </c>
      <c r="I537" s="86">
        <v>8</v>
      </c>
      <c r="J537" s="63">
        <f t="shared" si="96"/>
        <v>15200</v>
      </c>
      <c r="K537" s="63">
        <f t="shared" si="97"/>
        <v>58900</v>
      </c>
      <c r="N537" s="108">
        <f>(G537+I537)*F537</f>
        <v>58900</v>
      </c>
    </row>
    <row r="538" spans="2:14" ht="21.75" customHeight="1">
      <c r="B538" s="76">
        <v>11</v>
      </c>
      <c r="C538" s="66" t="s">
        <v>851</v>
      </c>
      <c r="D538" s="125"/>
      <c r="E538" s="88" t="s">
        <v>251</v>
      </c>
      <c r="F538" s="85">
        <v>600</v>
      </c>
      <c r="G538" s="86">
        <v>30</v>
      </c>
      <c r="H538" s="80">
        <f t="shared" si="95"/>
        <v>18000</v>
      </c>
      <c r="I538" s="86">
        <v>10</v>
      </c>
      <c r="J538" s="63">
        <f t="shared" si="96"/>
        <v>6000</v>
      </c>
      <c r="K538" s="63">
        <f t="shared" si="97"/>
        <v>24000</v>
      </c>
      <c r="N538" s="108">
        <f>(G538+I538)*F538</f>
        <v>24000</v>
      </c>
    </row>
    <row r="539" spans="2:14" ht="21.75" customHeight="1">
      <c r="B539" s="78"/>
      <c r="C539" s="66"/>
      <c r="D539" s="125"/>
      <c r="E539" s="88"/>
      <c r="F539" s="85"/>
      <c r="G539" s="86"/>
      <c r="H539" s="80"/>
      <c r="I539" s="86"/>
      <c r="J539" s="63"/>
      <c r="K539" s="63"/>
      <c r="N539" s="108">
        <f t="shared" si="94"/>
        <v>0</v>
      </c>
    </row>
    <row r="540" spans="2:14" ht="21.75" customHeight="1">
      <c r="B540" s="78"/>
      <c r="C540" s="702" t="s">
        <v>234</v>
      </c>
      <c r="D540" s="703"/>
      <c r="E540" s="51"/>
      <c r="F540" s="53"/>
      <c r="G540" s="53"/>
      <c r="H540" s="71">
        <f>SUM(H527:H538)</f>
        <v>304660</v>
      </c>
      <c r="I540" s="71"/>
      <c r="J540" s="71">
        <f>SUM(J527:J538)</f>
        <v>55300</v>
      </c>
      <c r="K540" s="71">
        <f>SUM(K527:K538)</f>
        <v>359960</v>
      </c>
      <c r="M540" s="65">
        <f>SUM(H540,J540)</f>
        <v>359960</v>
      </c>
      <c r="N540" s="108">
        <f t="shared" si="94"/>
        <v>0</v>
      </c>
    </row>
    <row r="541" spans="2:14" ht="21.75" customHeight="1">
      <c r="B541" s="78"/>
      <c r="C541" s="54"/>
      <c r="D541" s="54"/>
      <c r="E541" s="51"/>
      <c r="F541" s="53"/>
      <c r="G541" s="53"/>
      <c r="H541" s="53"/>
      <c r="I541" s="53"/>
      <c r="J541" s="53"/>
      <c r="K541" s="53"/>
      <c r="N541" s="108">
        <f t="shared" si="94"/>
        <v>0</v>
      </c>
    </row>
    <row r="542" spans="2:14" ht="21.75" customHeight="1">
      <c r="B542" s="78"/>
      <c r="C542" s="54"/>
      <c r="D542" s="54"/>
      <c r="E542" s="51"/>
      <c r="F542" s="53"/>
      <c r="G542" s="53"/>
      <c r="H542" s="53"/>
      <c r="I542" s="53"/>
      <c r="J542" s="53"/>
      <c r="K542" s="53"/>
      <c r="N542" s="108"/>
    </row>
    <row r="543" spans="2:14" ht="21.75" customHeight="1">
      <c r="B543" s="78"/>
      <c r="C543" s="702" t="s">
        <v>703</v>
      </c>
      <c r="D543" s="703"/>
      <c r="E543" s="51"/>
      <c r="F543" s="53"/>
      <c r="G543" s="53"/>
      <c r="H543" s="53"/>
      <c r="I543" s="53"/>
      <c r="J543" s="53"/>
      <c r="K543" s="53"/>
      <c r="N543" s="108">
        <f t="shared" si="94"/>
        <v>0</v>
      </c>
    </row>
    <row r="544" spans="2:14" ht="21.75" customHeight="1">
      <c r="B544" s="76">
        <v>1</v>
      </c>
      <c r="C544" s="82" t="s">
        <v>609</v>
      </c>
      <c r="D544" s="54"/>
      <c r="E544" s="51"/>
      <c r="F544" s="53"/>
      <c r="G544" s="53"/>
      <c r="H544" s="53"/>
      <c r="I544" s="53"/>
      <c r="J544" s="53"/>
      <c r="K544" s="53"/>
      <c r="N544" s="108">
        <f t="shared" si="94"/>
        <v>0</v>
      </c>
    </row>
    <row r="545" spans="2:14" ht="21.75" customHeight="1">
      <c r="B545" s="76"/>
      <c r="C545" s="82" t="s">
        <v>610</v>
      </c>
      <c r="D545" s="54"/>
      <c r="E545" s="51"/>
      <c r="F545" s="53"/>
      <c r="G545" s="53"/>
      <c r="H545" s="53"/>
      <c r="I545" s="53"/>
      <c r="J545" s="53"/>
      <c r="K545" s="53"/>
      <c r="N545" s="108">
        <f t="shared" si="94"/>
        <v>0</v>
      </c>
    </row>
    <row r="546" spans="2:14" ht="21.75" customHeight="1">
      <c r="B546" s="78"/>
      <c r="C546" s="82" t="s">
        <v>611</v>
      </c>
      <c r="D546" s="54"/>
      <c r="E546" s="88" t="s">
        <v>252</v>
      </c>
      <c r="F546" s="85">
        <v>52</v>
      </c>
      <c r="G546" s="86">
        <v>3600</v>
      </c>
      <c r="H546" s="80">
        <f>F546*G546</f>
        <v>187200</v>
      </c>
      <c r="I546" s="86">
        <v>200</v>
      </c>
      <c r="J546" s="63">
        <f>F546*I546</f>
        <v>10400</v>
      </c>
      <c r="K546" s="63">
        <f>H546+J546</f>
        <v>197600</v>
      </c>
      <c r="N546" s="108">
        <f t="shared" si="94"/>
        <v>197600</v>
      </c>
    </row>
    <row r="547" spans="2:14" ht="21.75" customHeight="1">
      <c r="B547" s="76">
        <v>2</v>
      </c>
      <c r="C547" s="82" t="s">
        <v>612</v>
      </c>
      <c r="D547" s="54"/>
      <c r="E547" s="88" t="s">
        <v>252</v>
      </c>
      <c r="F547" s="85">
        <v>10</v>
      </c>
      <c r="G547" s="86">
        <v>2400</v>
      </c>
      <c r="H547" s="80">
        <f>F547*G547</f>
        <v>24000</v>
      </c>
      <c r="I547" s="86">
        <v>100</v>
      </c>
      <c r="J547" s="63">
        <f>F547*I547</f>
        <v>1000</v>
      </c>
      <c r="K547" s="63">
        <f>H547+J547</f>
        <v>25000</v>
      </c>
      <c r="N547" s="108">
        <f t="shared" si="94"/>
        <v>25000</v>
      </c>
    </row>
    <row r="548" spans="2:14" ht="21.75" customHeight="1">
      <c r="B548" s="76">
        <v>3</v>
      </c>
      <c r="C548" s="82" t="s">
        <v>613</v>
      </c>
      <c r="D548" s="54"/>
      <c r="E548" s="88" t="s">
        <v>252</v>
      </c>
      <c r="F548" s="85">
        <v>26</v>
      </c>
      <c r="G548" s="86">
        <v>1100</v>
      </c>
      <c r="H548" s="80">
        <f>F548*G548</f>
        <v>28600</v>
      </c>
      <c r="I548" s="86">
        <v>100</v>
      </c>
      <c r="J548" s="63">
        <f>F548*I548</f>
        <v>2600</v>
      </c>
      <c r="K548" s="63">
        <f>H548+J548</f>
        <v>31200</v>
      </c>
      <c r="N548" s="108">
        <f t="shared" si="94"/>
        <v>31200</v>
      </c>
    </row>
    <row r="549" spans="2:14" ht="21.75" customHeight="1">
      <c r="B549" s="76">
        <v>4</v>
      </c>
      <c r="C549" s="82" t="s">
        <v>614</v>
      </c>
      <c r="D549" s="54"/>
      <c r="E549" s="79" t="s">
        <v>233</v>
      </c>
      <c r="F549" s="85">
        <v>62</v>
      </c>
      <c r="G549" s="86">
        <v>600</v>
      </c>
      <c r="H549" s="80">
        <f>F549*G549</f>
        <v>37200</v>
      </c>
      <c r="I549" s="86">
        <v>150</v>
      </c>
      <c r="J549" s="63">
        <f>F549*I549</f>
        <v>9300</v>
      </c>
      <c r="K549" s="63">
        <f>H549+J549</f>
        <v>46500</v>
      </c>
      <c r="N549" s="108">
        <f t="shared" si="94"/>
        <v>46500</v>
      </c>
    </row>
    <row r="550" spans="2:14" ht="21.75" customHeight="1">
      <c r="B550" s="76">
        <v>5</v>
      </c>
      <c r="C550" s="82" t="s">
        <v>590</v>
      </c>
      <c r="D550" s="54"/>
      <c r="E550" s="79" t="s">
        <v>321</v>
      </c>
      <c r="F550" s="85">
        <v>1</v>
      </c>
      <c r="G550" s="86">
        <v>5000</v>
      </c>
      <c r="H550" s="80">
        <f>F550*G550</f>
        <v>5000</v>
      </c>
      <c r="I550" s="86">
        <v>1500</v>
      </c>
      <c r="J550" s="63">
        <f>F550*I550</f>
        <v>1500</v>
      </c>
      <c r="K550" s="63">
        <f>H550+J550</f>
        <v>6500</v>
      </c>
      <c r="N550" s="108">
        <f t="shared" si="94"/>
        <v>6500</v>
      </c>
    </row>
    <row r="551" spans="2:14" ht="21.75" customHeight="1">
      <c r="B551" s="76">
        <v>6</v>
      </c>
      <c r="C551" s="82" t="s">
        <v>615</v>
      </c>
      <c r="D551" s="72"/>
      <c r="E551" s="51"/>
      <c r="F551" s="53"/>
      <c r="G551" s="53"/>
      <c r="H551" s="53"/>
      <c r="I551" s="53"/>
      <c r="J551" s="53"/>
      <c r="K551" s="53"/>
      <c r="N551" s="108">
        <f t="shared" si="94"/>
        <v>0</v>
      </c>
    </row>
    <row r="552" spans="2:14" ht="21.75" customHeight="1">
      <c r="B552" s="78"/>
      <c r="C552" s="82" t="s">
        <v>616</v>
      </c>
      <c r="D552" s="72"/>
      <c r="E552" s="51"/>
      <c r="F552" s="53"/>
      <c r="G552" s="53"/>
      <c r="H552" s="53"/>
      <c r="I552" s="53"/>
      <c r="J552" s="53"/>
      <c r="K552" s="53"/>
      <c r="N552" s="108">
        <f t="shared" si="94"/>
        <v>0</v>
      </c>
    </row>
    <row r="553" spans="2:14" ht="21.75" customHeight="1">
      <c r="B553" s="78"/>
      <c r="C553" s="66" t="s">
        <v>617</v>
      </c>
      <c r="D553" s="91"/>
      <c r="E553" s="88" t="s">
        <v>252</v>
      </c>
      <c r="F553" s="85">
        <v>2</v>
      </c>
      <c r="G553" s="86">
        <v>100000</v>
      </c>
      <c r="H553" s="80">
        <f>F553*G553</f>
        <v>200000</v>
      </c>
      <c r="I553" s="86">
        <v>5000</v>
      </c>
      <c r="J553" s="63">
        <f>F553*I553</f>
        <v>10000</v>
      </c>
      <c r="K553" s="63">
        <f>H553+J553</f>
        <v>210000</v>
      </c>
      <c r="N553" s="108">
        <f t="shared" si="94"/>
        <v>210000</v>
      </c>
    </row>
    <row r="554" spans="2:14" ht="21.75" customHeight="1">
      <c r="B554" s="78"/>
      <c r="C554" s="66"/>
      <c r="D554" s="91"/>
      <c r="E554" s="88"/>
      <c r="F554" s="85"/>
      <c r="G554" s="86"/>
      <c r="H554" s="80"/>
      <c r="I554" s="86"/>
      <c r="J554" s="63"/>
      <c r="K554" s="63"/>
      <c r="N554" s="108">
        <f t="shared" si="94"/>
        <v>0</v>
      </c>
    </row>
    <row r="555" spans="2:14" ht="21.75" customHeight="1">
      <c r="B555" s="78"/>
      <c r="C555" s="702" t="s">
        <v>234</v>
      </c>
      <c r="D555" s="703"/>
      <c r="E555" s="75"/>
      <c r="F555" s="71"/>
      <c r="G555" s="71"/>
      <c r="H555" s="71">
        <f>SUM(H546:H553)</f>
        <v>482000</v>
      </c>
      <c r="I555" s="71"/>
      <c r="J555" s="71">
        <f>SUM(J546:J553)</f>
        <v>34800</v>
      </c>
      <c r="K555" s="71">
        <f>SUM(K546:K553)</f>
        <v>516800</v>
      </c>
      <c r="M555" s="65">
        <f>SUM(H555,J555)</f>
        <v>516800</v>
      </c>
      <c r="N555" s="108">
        <f t="shared" si="94"/>
        <v>0</v>
      </c>
    </row>
    <row r="556" spans="2:14" ht="21.75" customHeight="1">
      <c r="B556" s="78"/>
      <c r="C556" s="72"/>
      <c r="D556" s="72"/>
      <c r="E556" s="75"/>
      <c r="F556" s="71"/>
      <c r="G556" s="71"/>
      <c r="H556" s="71"/>
      <c r="I556" s="71"/>
      <c r="J556" s="71"/>
      <c r="K556" s="71"/>
      <c r="M556" s="65"/>
      <c r="N556" s="108">
        <f t="shared" si="94"/>
        <v>0</v>
      </c>
    </row>
    <row r="557" spans="2:14" ht="21.75" customHeight="1">
      <c r="B557" s="78"/>
      <c r="C557" s="72"/>
      <c r="D557" s="72"/>
      <c r="E557" s="75"/>
      <c r="F557" s="71"/>
      <c r="G557" s="71"/>
      <c r="H557" s="71"/>
      <c r="I557" s="71"/>
      <c r="J557" s="71"/>
      <c r="K557" s="71"/>
      <c r="M557" s="65"/>
      <c r="N557" s="108"/>
    </row>
    <row r="558" spans="2:14" ht="21.75" customHeight="1">
      <c r="B558" s="78"/>
      <c r="C558" s="702" t="s">
        <v>783</v>
      </c>
      <c r="D558" s="703"/>
      <c r="E558" s="75"/>
      <c r="F558" s="71"/>
      <c r="G558" s="71"/>
      <c r="H558" s="71"/>
      <c r="I558" s="71"/>
      <c r="J558" s="71"/>
      <c r="K558" s="71"/>
      <c r="M558" s="65"/>
      <c r="N558" s="108"/>
    </row>
    <row r="559" spans="2:14" ht="21.75" customHeight="1">
      <c r="B559" s="52">
        <v>1</v>
      </c>
      <c r="C559" s="82" t="s">
        <v>618</v>
      </c>
      <c r="D559" s="125"/>
      <c r="E559" s="88" t="s">
        <v>252</v>
      </c>
      <c r="F559" s="85">
        <v>26</v>
      </c>
      <c r="G559" s="86">
        <v>210</v>
      </c>
      <c r="H559" s="80">
        <f>F559*G559</f>
        <v>5460</v>
      </c>
      <c r="I559" s="86">
        <v>90</v>
      </c>
      <c r="J559" s="63">
        <f>F559*I559</f>
        <v>2340</v>
      </c>
      <c r="K559" s="63">
        <f>H559+J559</f>
        <v>7800</v>
      </c>
      <c r="N559" s="108">
        <f aca="true" t="shared" si="98" ref="N559:N565">(G559+I559)*F559</f>
        <v>7800</v>
      </c>
    </row>
    <row r="560" spans="2:14" ht="21.75" customHeight="1">
      <c r="B560" s="52">
        <v>2</v>
      </c>
      <c r="C560" s="82" t="s">
        <v>619</v>
      </c>
      <c r="D560" s="91"/>
      <c r="E560" s="88" t="s">
        <v>252</v>
      </c>
      <c r="F560" s="85">
        <v>26</v>
      </c>
      <c r="G560" s="86">
        <v>600</v>
      </c>
      <c r="H560" s="80">
        <f>F560*G560</f>
        <v>15600</v>
      </c>
      <c r="I560" s="86">
        <v>150</v>
      </c>
      <c r="J560" s="63">
        <f>F560*I560</f>
        <v>3900</v>
      </c>
      <c r="K560" s="63">
        <f>H560+J560</f>
        <v>19500</v>
      </c>
      <c r="N560" s="108">
        <f t="shared" si="98"/>
        <v>19500</v>
      </c>
    </row>
    <row r="561" spans="2:14" ht="21.75" customHeight="1">
      <c r="B561" s="52">
        <v>3</v>
      </c>
      <c r="C561" s="82" t="s">
        <v>317</v>
      </c>
      <c r="D561" s="54"/>
      <c r="E561" s="88" t="s">
        <v>321</v>
      </c>
      <c r="F561" s="85">
        <v>1</v>
      </c>
      <c r="G561" s="86">
        <v>8000</v>
      </c>
      <c r="H561" s="80">
        <f>F561*G561</f>
        <v>8000</v>
      </c>
      <c r="I561" s="86">
        <v>2000</v>
      </c>
      <c r="J561" s="63">
        <f>F561*I561</f>
        <v>2000</v>
      </c>
      <c r="K561" s="63">
        <f>H561+J561</f>
        <v>10000</v>
      </c>
      <c r="N561" s="108">
        <f t="shared" si="98"/>
        <v>10000</v>
      </c>
    </row>
    <row r="562" spans="2:14" ht="21.75" customHeight="1">
      <c r="B562" s="52">
        <v>4</v>
      </c>
      <c r="C562" s="66" t="s">
        <v>620</v>
      </c>
      <c r="D562" s="125"/>
      <c r="E562" s="88" t="s">
        <v>321</v>
      </c>
      <c r="F562" s="85">
        <v>1</v>
      </c>
      <c r="G562" s="86">
        <v>19000</v>
      </c>
      <c r="H562" s="80">
        <f>F562*G562</f>
        <v>19000</v>
      </c>
      <c r="I562" s="86">
        <v>3000</v>
      </c>
      <c r="J562" s="63">
        <f>F562*I562</f>
        <v>3000</v>
      </c>
      <c r="K562" s="63">
        <f>H562+J562</f>
        <v>22000</v>
      </c>
      <c r="N562" s="108">
        <f t="shared" si="98"/>
        <v>22000</v>
      </c>
    </row>
    <row r="563" spans="2:14" ht="21.75" customHeight="1">
      <c r="B563" s="52">
        <v>5</v>
      </c>
      <c r="C563" s="66" t="s">
        <v>621</v>
      </c>
      <c r="D563" s="91"/>
      <c r="E563" s="88" t="s">
        <v>321</v>
      </c>
      <c r="F563" s="85">
        <v>1</v>
      </c>
      <c r="G563" s="86">
        <v>15000</v>
      </c>
      <c r="H563" s="80">
        <f>F563*G563</f>
        <v>15000</v>
      </c>
      <c r="I563" s="86">
        <v>1000</v>
      </c>
      <c r="J563" s="63">
        <f>F563*I563</f>
        <v>1000</v>
      </c>
      <c r="K563" s="63">
        <f>H563+J563</f>
        <v>16000</v>
      </c>
      <c r="N563" s="108">
        <f t="shared" si="98"/>
        <v>16000</v>
      </c>
    </row>
    <row r="564" spans="2:14" ht="21.75" customHeight="1">
      <c r="B564" s="76"/>
      <c r="C564" s="66"/>
      <c r="D564" s="91"/>
      <c r="E564" s="88"/>
      <c r="F564" s="81"/>
      <c r="G564" s="77"/>
      <c r="H564" s="80"/>
      <c r="I564" s="77"/>
      <c r="J564" s="63"/>
      <c r="K564" s="63"/>
      <c r="N564" s="108">
        <f t="shared" si="98"/>
        <v>0</v>
      </c>
    </row>
    <row r="565" spans="2:14" ht="21.75" customHeight="1">
      <c r="B565" s="78"/>
      <c r="C565" s="702" t="s">
        <v>234</v>
      </c>
      <c r="D565" s="703"/>
      <c r="E565" s="75"/>
      <c r="F565" s="71"/>
      <c r="G565" s="71"/>
      <c r="H565" s="71">
        <f>SUM(H559:H563)</f>
        <v>63060</v>
      </c>
      <c r="I565" s="71"/>
      <c r="J565" s="71">
        <f>SUM(J559:J563)</f>
        <v>12240</v>
      </c>
      <c r="K565" s="71">
        <f>SUM(K559:K563)</f>
        <v>75300</v>
      </c>
      <c r="M565" s="65">
        <f>SUM(H565,J565)</f>
        <v>75300</v>
      </c>
      <c r="N565" s="108">
        <f t="shared" si="98"/>
        <v>0</v>
      </c>
    </row>
    <row r="566" spans="2:14" ht="21.75" customHeight="1">
      <c r="B566" s="78"/>
      <c r="C566" s="72"/>
      <c r="D566" s="72"/>
      <c r="E566" s="75"/>
      <c r="F566" s="71"/>
      <c r="G566" s="71"/>
      <c r="H566" s="71"/>
      <c r="I566" s="71"/>
      <c r="J566" s="71"/>
      <c r="K566" s="71"/>
      <c r="M566" s="65"/>
      <c r="N566" s="108"/>
    </row>
    <row r="567" spans="2:14" ht="21.75" customHeight="1">
      <c r="B567" s="78"/>
      <c r="C567" s="72"/>
      <c r="D567" s="72"/>
      <c r="E567" s="75"/>
      <c r="F567" s="71"/>
      <c r="G567" s="71"/>
      <c r="H567" s="71"/>
      <c r="I567" s="71"/>
      <c r="J567" s="71"/>
      <c r="K567" s="71"/>
      <c r="M567" s="65"/>
      <c r="N567" s="108"/>
    </row>
    <row r="568" spans="2:14" ht="21.75" customHeight="1">
      <c r="B568" s="78"/>
      <c r="C568" s="72"/>
      <c r="D568" s="72"/>
      <c r="E568" s="75"/>
      <c r="F568" s="71"/>
      <c r="G568" s="71"/>
      <c r="H568" s="71"/>
      <c r="I568" s="71"/>
      <c r="J568" s="71"/>
      <c r="K568" s="71"/>
      <c r="M568" s="65"/>
      <c r="N568" s="108">
        <f t="shared" si="94"/>
        <v>0</v>
      </c>
    </row>
    <row r="569" spans="2:14" ht="21.75" customHeight="1">
      <c r="B569" s="51"/>
      <c r="C569" s="702" t="s">
        <v>698</v>
      </c>
      <c r="D569" s="703"/>
      <c r="E569" s="52"/>
      <c r="F569" s="53"/>
      <c r="G569" s="53"/>
      <c r="H569" s="53"/>
      <c r="I569" s="53"/>
      <c r="J569" s="53"/>
      <c r="K569" s="53"/>
      <c r="N569" s="108">
        <f t="shared" si="94"/>
        <v>0</v>
      </c>
    </row>
    <row r="570" spans="2:14" ht="21.75" customHeight="1">
      <c r="B570" s="96" t="s">
        <v>275</v>
      </c>
      <c r="C570" s="114" t="s">
        <v>82</v>
      </c>
      <c r="D570" s="91"/>
      <c r="E570" s="52" t="s">
        <v>233</v>
      </c>
      <c r="F570" s="115">
        <v>61</v>
      </c>
      <c r="G570" s="115">
        <v>2540</v>
      </c>
      <c r="H570" s="115">
        <f>F570*G570</f>
        <v>154940</v>
      </c>
      <c r="I570" s="115">
        <v>500</v>
      </c>
      <c r="J570" s="115">
        <f>F570*I570</f>
        <v>30500</v>
      </c>
      <c r="K570" s="116">
        <f>H570+J570</f>
        <v>185440</v>
      </c>
      <c r="N570" s="108">
        <f t="shared" si="94"/>
        <v>185440</v>
      </c>
    </row>
    <row r="571" spans="2:14" ht="21.75" customHeight="1">
      <c r="B571" s="96" t="s">
        <v>276</v>
      </c>
      <c r="C571" s="114" t="s">
        <v>83</v>
      </c>
      <c r="D571" s="91"/>
      <c r="E571" s="52" t="s">
        <v>233</v>
      </c>
      <c r="F571" s="115">
        <v>61</v>
      </c>
      <c r="G571" s="115">
        <v>300</v>
      </c>
      <c r="H571" s="115">
        <f aca="true" t="shared" si="99" ref="H571:H586">F571*G571</f>
        <v>18300</v>
      </c>
      <c r="I571" s="115">
        <v>100</v>
      </c>
      <c r="J571" s="115">
        <f aca="true" t="shared" si="100" ref="J571:J586">F571*I571</f>
        <v>6100</v>
      </c>
      <c r="K571" s="116">
        <f aca="true" t="shared" si="101" ref="K571:K586">H571+J571</f>
        <v>24400</v>
      </c>
      <c r="N571" s="108">
        <f t="shared" si="94"/>
        <v>24400</v>
      </c>
    </row>
    <row r="572" spans="2:14" ht="21.75" customHeight="1">
      <c r="B572" s="96" t="s">
        <v>277</v>
      </c>
      <c r="C572" s="114" t="s">
        <v>84</v>
      </c>
      <c r="D572" s="91"/>
      <c r="E572" s="52" t="s">
        <v>85</v>
      </c>
      <c r="F572" s="115">
        <v>3491</v>
      </c>
      <c r="G572" s="115">
        <v>30</v>
      </c>
      <c r="H572" s="115">
        <f t="shared" si="99"/>
        <v>104730</v>
      </c>
      <c r="I572" s="115">
        <v>40</v>
      </c>
      <c r="J572" s="115">
        <f t="shared" si="100"/>
        <v>139640</v>
      </c>
      <c r="K572" s="116">
        <f t="shared" si="101"/>
        <v>244370</v>
      </c>
      <c r="N572" s="108">
        <f t="shared" si="94"/>
        <v>244370</v>
      </c>
    </row>
    <row r="573" spans="2:14" ht="21.75" customHeight="1">
      <c r="B573" s="96" t="s">
        <v>278</v>
      </c>
      <c r="C573" s="114" t="s">
        <v>86</v>
      </c>
      <c r="D573" s="91"/>
      <c r="E573" s="52" t="s">
        <v>251</v>
      </c>
      <c r="F573" s="115">
        <v>246</v>
      </c>
      <c r="G573" s="115">
        <v>104</v>
      </c>
      <c r="H573" s="115">
        <f t="shared" si="99"/>
        <v>25584</v>
      </c>
      <c r="I573" s="115">
        <v>54</v>
      </c>
      <c r="J573" s="115">
        <f t="shared" si="100"/>
        <v>13284</v>
      </c>
      <c r="K573" s="116">
        <f t="shared" si="101"/>
        <v>38868</v>
      </c>
      <c r="N573" s="108">
        <f t="shared" si="94"/>
        <v>38868</v>
      </c>
    </row>
    <row r="574" spans="2:14" ht="21.75" customHeight="1">
      <c r="B574" s="96" t="s">
        <v>279</v>
      </c>
      <c r="C574" s="117" t="s">
        <v>87</v>
      </c>
      <c r="D574" s="91" t="s">
        <v>88</v>
      </c>
      <c r="E574" s="52" t="s">
        <v>252</v>
      </c>
      <c r="F574" s="115">
        <v>11</v>
      </c>
      <c r="G574" s="115">
        <v>590</v>
      </c>
      <c r="H574" s="115">
        <f t="shared" si="99"/>
        <v>6490</v>
      </c>
      <c r="I574" s="115">
        <v>125</v>
      </c>
      <c r="J574" s="115">
        <f t="shared" si="100"/>
        <v>1375</v>
      </c>
      <c r="K574" s="116">
        <f t="shared" si="101"/>
        <v>7865</v>
      </c>
      <c r="N574" s="108">
        <f t="shared" si="94"/>
        <v>7865</v>
      </c>
    </row>
    <row r="575" spans="2:14" ht="21.75" customHeight="1">
      <c r="B575" s="96" t="s">
        <v>280</v>
      </c>
      <c r="C575" s="117" t="s">
        <v>87</v>
      </c>
      <c r="D575" s="91" t="s">
        <v>89</v>
      </c>
      <c r="E575" s="52" t="s">
        <v>252</v>
      </c>
      <c r="F575" s="115">
        <v>12</v>
      </c>
      <c r="G575" s="115">
        <v>1417</v>
      </c>
      <c r="H575" s="115">
        <f t="shared" si="99"/>
        <v>17004</v>
      </c>
      <c r="I575" s="115">
        <v>250</v>
      </c>
      <c r="J575" s="115">
        <f t="shared" si="100"/>
        <v>3000</v>
      </c>
      <c r="K575" s="116">
        <f t="shared" si="101"/>
        <v>20004</v>
      </c>
      <c r="N575" s="108">
        <f t="shared" si="94"/>
        <v>20004</v>
      </c>
    </row>
    <row r="576" spans="2:14" ht="21.75" customHeight="1">
      <c r="B576" s="96" t="s">
        <v>281</v>
      </c>
      <c r="C576" s="117" t="s">
        <v>87</v>
      </c>
      <c r="D576" s="91" t="s">
        <v>90</v>
      </c>
      <c r="E576" s="52" t="s">
        <v>252</v>
      </c>
      <c r="F576" s="115">
        <v>1</v>
      </c>
      <c r="G576" s="115">
        <v>4540</v>
      </c>
      <c r="H576" s="115">
        <f t="shared" si="99"/>
        <v>4540</v>
      </c>
      <c r="I576" s="115">
        <v>400</v>
      </c>
      <c r="J576" s="115">
        <f t="shared" si="100"/>
        <v>400</v>
      </c>
      <c r="K576" s="116">
        <f t="shared" si="101"/>
        <v>4940</v>
      </c>
      <c r="N576" s="108">
        <f t="shared" si="94"/>
        <v>4940</v>
      </c>
    </row>
    <row r="577" spans="2:14" ht="21.75" customHeight="1">
      <c r="B577" s="96" t="s">
        <v>282</v>
      </c>
      <c r="C577" s="117" t="s">
        <v>87</v>
      </c>
      <c r="D577" s="91" t="s">
        <v>91</v>
      </c>
      <c r="E577" s="52" t="s">
        <v>252</v>
      </c>
      <c r="F577" s="115">
        <v>2</v>
      </c>
      <c r="G577" s="115">
        <v>1628</v>
      </c>
      <c r="H577" s="115">
        <f t="shared" si="99"/>
        <v>3256</v>
      </c>
      <c r="I577" s="115">
        <v>250</v>
      </c>
      <c r="J577" s="115">
        <f t="shared" si="100"/>
        <v>500</v>
      </c>
      <c r="K577" s="116">
        <f t="shared" si="101"/>
        <v>3756</v>
      </c>
      <c r="N577" s="108">
        <f t="shared" si="94"/>
        <v>3756</v>
      </c>
    </row>
    <row r="578" spans="2:14" ht="21.75" customHeight="1">
      <c r="B578" s="96" t="s">
        <v>283</v>
      </c>
      <c r="C578" s="117" t="s">
        <v>92</v>
      </c>
      <c r="D578" s="91" t="s">
        <v>93</v>
      </c>
      <c r="E578" s="52" t="s">
        <v>252</v>
      </c>
      <c r="F578" s="115">
        <v>2</v>
      </c>
      <c r="G578" s="115">
        <v>470</v>
      </c>
      <c r="H578" s="115">
        <f t="shared" si="99"/>
        <v>940</v>
      </c>
      <c r="I578" s="115">
        <v>250</v>
      </c>
      <c r="J578" s="115">
        <f t="shared" si="100"/>
        <v>500</v>
      </c>
      <c r="K578" s="116">
        <f t="shared" si="101"/>
        <v>1440</v>
      </c>
      <c r="N578" s="108">
        <f t="shared" si="94"/>
        <v>1440</v>
      </c>
    </row>
    <row r="579" spans="2:14" ht="21.75" customHeight="1">
      <c r="B579" s="96" t="s">
        <v>284</v>
      </c>
      <c r="C579" s="117" t="s">
        <v>94</v>
      </c>
      <c r="D579" s="91" t="s">
        <v>95</v>
      </c>
      <c r="E579" s="52" t="s">
        <v>252</v>
      </c>
      <c r="F579" s="115">
        <v>76</v>
      </c>
      <c r="G579" s="115">
        <v>178</v>
      </c>
      <c r="H579" s="115">
        <f t="shared" si="99"/>
        <v>13528</v>
      </c>
      <c r="I579" s="115">
        <v>125</v>
      </c>
      <c r="J579" s="115">
        <f t="shared" si="100"/>
        <v>9500</v>
      </c>
      <c r="K579" s="116">
        <f t="shared" si="101"/>
        <v>23028</v>
      </c>
      <c r="N579" s="108">
        <f t="shared" si="94"/>
        <v>23028</v>
      </c>
    </row>
    <row r="580" spans="2:14" ht="21.75" customHeight="1">
      <c r="B580" s="96" t="s">
        <v>285</v>
      </c>
      <c r="C580" s="117" t="s">
        <v>94</v>
      </c>
      <c r="D580" s="91" t="s">
        <v>96</v>
      </c>
      <c r="E580" s="52" t="s">
        <v>252</v>
      </c>
      <c r="F580" s="115">
        <v>2</v>
      </c>
      <c r="G580" s="115">
        <v>235</v>
      </c>
      <c r="H580" s="115">
        <f t="shared" si="99"/>
        <v>470</v>
      </c>
      <c r="I580" s="115">
        <v>125</v>
      </c>
      <c r="J580" s="115">
        <f t="shared" si="100"/>
        <v>250</v>
      </c>
      <c r="K580" s="116">
        <f t="shared" si="101"/>
        <v>720</v>
      </c>
      <c r="N580" s="108">
        <f t="shared" si="94"/>
        <v>720</v>
      </c>
    </row>
    <row r="581" spans="2:14" ht="21.75" customHeight="1">
      <c r="B581" s="96" t="s">
        <v>286</v>
      </c>
      <c r="C581" s="117" t="s">
        <v>97</v>
      </c>
      <c r="D581" s="91" t="s">
        <v>98</v>
      </c>
      <c r="E581" s="52" t="s">
        <v>252</v>
      </c>
      <c r="F581" s="115">
        <v>5</v>
      </c>
      <c r="G581" s="115">
        <v>550</v>
      </c>
      <c r="H581" s="115">
        <f t="shared" si="99"/>
        <v>2750</v>
      </c>
      <c r="I581" s="115">
        <v>125</v>
      </c>
      <c r="J581" s="115">
        <f t="shared" si="100"/>
        <v>625</v>
      </c>
      <c r="K581" s="116">
        <f t="shared" si="101"/>
        <v>3375</v>
      </c>
      <c r="N581" s="108">
        <f t="shared" si="94"/>
        <v>3375</v>
      </c>
    </row>
    <row r="582" spans="2:14" ht="21.75" customHeight="1">
      <c r="B582" s="96" t="s">
        <v>99</v>
      </c>
      <c r="C582" s="117" t="s">
        <v>97</v>
      </c>
      <c r="D582" s="91" t="s">
        <v>100</v>
      </c>
      <c r="E582" s="52" t="s">
        <v>252</v>
      </c>
      <c r="F582" s="115">
        <v>14</v>
      </c>
      <c r="G582" s="115">
        <v>900</v>
      </c>
      <c r="H582" s="115">
        <f t="shared" si="99"/>
        <v>12600</v>
      </c>
      <c r="I582" s="115">
        <v>125</v>
      </c>
      <c r="J582" s="115">
        <f t="shared" si="100"/>
        <v>1750</v>
      </c>
      <c r="K582" s="116">
        <f t="shared" si="101"/>
        <v>14350</v>
      </c>
      <c r="N582" s="108">
        <f t="shared" si="94"/>
        <v>14350</v>
      </c>
    </row>
    <row r="583" spans="2:14" ht="21.75" customHeight="1">
      <c r="B583" s="96" t="s">
        <v>101</v>
      </c>
      <c r="C583" s="117" t="s">
        <v>97</v>
      </c>
      <c r="D583" s="91" t="s">
        <v>102</v>
      </c>
      <c r="E583" s="52" t="s">
        <v>252</v>
      </c>
      <c r="F583" s="115">
        <v>2</v>
      </c>
      <c r="G583" s="115">
        <v>1077</v>
      </c>
      <c r="H583" s="115">
        <f t="shared" si="99"/>
        <v>2154</v>
      </c>
      <c r="I583" s="115">
        <v>150</v>
      </c>
      <c r="J583" s="115">
        <f t="shared" si="100"/>
        <v>300</v>
      </c>
      <c r="K583" s="116">
        <f t="shared" si="101"/>
        <v>2454</v>
      </c>
      <c r="N583" s="108">
        <f t="shared" si="94"/>
        <v>2454</v>
      </c>
    </row>
    <row r="584" spans="2:14" ht="21.75" customHeight="1">
      <c r="B584" s="96" t="s">
        <v>103</v>
      </c>
      <c r="C584" s="114" t="s">
        <v>104</v>
      </c>
      <c r="D584" s="91"/>
      <c r="E584" s="52" t="s">
        <v>252</v>
      </c>
      <c r="F584" s="115">
        <v>14</v>
      </c>
      <c r="G584" s="115">
        <v>13320</v>
      </c>
      <c r="H584" s="115">
        <f t="shared" si="99"/>
        <v>186480</v>
      </c>
      <c r="I584" s="115">
        <v>1300</v>
      </c>
      <c r="J584" s="115">
        <f t="shared" si="100"/>
        <v>18200</v>
      </c>
      <c r="K584" s="116">
        <f t="shared" si="101"/>
        <v>204680</v>
      </c>
      <c r="N584" s="108">
        <f t="shared" si="94"/>
        <v>204680</v>
      </c>
    </row>
    <row r="585" spans="2:14" ht="21.75" customHeight="1">
      <c r="B585" s="96" t="s">
        <v>105</v>
      </c>
      <c r="C585" s="114" t="s">
        <v>106</v>
      </c>
      <c r="D585" s="91"/>
      <c r="E585" s="52" t="s">
        <v>252</v>
      </c>
      <c r="F585" s="115">
        <v>2</v>
      </c>
      <c r="G585" s="115">
        <v>2500</v>
      </c>
      <c r="H585" s="115">
        <f t="shared" si="99"/>
        <v>5000</v>
      </c>
      <c r="I585" s="115">
        <v>200</v>
      </c>
      <c r="J585" s="115">
        <f t="shared" si="100"/>
        <v>400</v>
      </c>
      <c r="K585" s="116">
        <f t="shared" si="101"/>
        <v>5400</v>
      </c>
      <c r="N585" s="108">
        <f t="shared" si="94"/>
        <v>5400</v>
      </c>
    </row>
    <row r="586" spans="2:14" ht="21.75" customHeight="1">
      <c r="B586" s="96" t="s">
        <v>107</v>
      </c>
      <c r="C586" s="114" t="s">
        <v>108</v>
      </c>
      <c r="D586" s="91"/>
      <c r="E586" s="52" t="s">
        <v>252</v>
      </c>
      <c r="F586" s="115">
        <v>3</v>
      </c>
      <c r="G586" s="115">
        <v>2500</v>
      </c>
      <c r="H586" s="115">
        <f t="shared" si="99"/>
        <v>7500</v>
      </c>
      <c r="I586" s="115">
        <v>100</v>
      </c>
      <c r="J586" s="115">
        <f t="shared" si="100"/>
        <v>300</v>
      </c>
      <c r="K586" s="116">
        <f t="shared" si="101"/>
        <v>7800</v>
      </c>
      <c r="N586" s="108">
        <f t="shared" si="94"/>
        <v>7800</v>
      </c>
    </row>
    <row r="587" spans="2:14" ht="21.75" customHeight="1">
      <c r="B587" s="96" t="s">
        <v>109</v>
      </c>
      <c r="C587" s="118" t="s">
        <v>110</v>
      </c>
      <c r="D587" s="91"/>
      <c r="E587" s="52"/>
      <c r="F587" s="115"/>
      <c r="G587" s="115"/>
      <c r="H587" s="115"/>
      <c r="I587" s="115"/>
      <c r="J587" s="115"/>
      <c r="K587" s="116"/>
      <c r="N587" s="108">
        <f t="shared" si="94"/>
        <v>0</v>
      </c>
    </row>
    <row r="588" spans="2:14" ht="21.75" customHeight="1">
      <c r="B588" s="96"/>
      <c r="C588" s="114" t="s">
        <v>111</v>
      </c>
      <c r="D588" s="91"/>
      <c r="E588" s="52" t="s">
        <v>252</v>
      </c>
      <c r="F588" s="115">
        <v>58</v>
      </c>
      <c r="G588" s="115">
        <v>700</v>
      </c>
      <c r="H588" s="115">
        <f aca="true" t="shared" si="102" ref="H588:H596">F588*G588</f>
        <v>40600</v>
      </c>
      <c r="I588" s="115">
        <v>100</v>
      </c>
      <c r="J588" s="115">
        <f aca="true" t="shared" si="103" ref="J588:J596">F588*I588</f>
        <v>5800</v>
      </c>
      <c r="K588" s="116">
        <f aca="true" t="shared" si="104" ref="K588:K596">H588+J588</f>
        <v>46400</v>
      </c>
      <c r="N588" s="108">
        <f t="shared" si="94"/>
        <v>46400</v>
      </c>
    </row>
    <row r="589" spans="2:14" ht="21.75" customHeight="1">
      <c r="B589" s="96" t="s">
        <v>112</v>
      </c>
      <c r="C589" s="114" t="s">
        <v>162</v>
      </c>
      <c r="D589" s="91"/>
      <c r="E589" s="52" t="s">
        <v>252</v>
      </c>
      <c r="F589" s="115">
        <v>3</v>
      </c>
      <c r="G589" s="115">
        <v>4250</v>
      </c>
      <c r="H589" s="115">
        <f t="shared" si="102"/>
        <v>12750</v>
      </c>
      <c r="I589" s="115">
        <v>300</v>
      </c>
      <c r="J589" s="115">
        <f t="shared" si="103"/>
        <v>900</v>
      </c>
      <c r="K589" s="116">
        <f t="shared" si="104"/>
        <v>13650</v>
      </c>
      <c r="N589" s="108">
        <f t="shared" si="94"/>
        <v>13650</v>
      </c>
    </row>
    <row r="590" spans="2:14" ht="21.75" customHeight="1">
      <c r="B590" s="96" t="s">
        <v>113</v>
      </c>
      <c r="C590" s="114" t="s">
        <v>882</v>
      </c>
      <c r="D590" s="91"/>
      <c r="E590" s="52" t="s">
        <v>252</v>
      </c>
      <c r="F590" s="115">
        <v>29</v>
      </c>
      <c r="G590" s="115">
        <v>400</v>
      </c>
      <c r="H590" s="115">
        <f t="shared" si="102"/>
        <v>11600</v>
      </c>
      <c r="I590" s="115">
        <v>30</v>
      </c>
      <c r="J590" s="115">
        <f t="shared" si="103"/>
        <v>870</v>
      </c>
      <c r="K590" s="116">
        <f t="shared" si="104"/>
        <v>12470</v>
      </c>
      <c r="N590" s="108">
        <f t="shared" si="94"/>
        <v>12470</v>
      </c>
    </row>
    <row r="591" spans="2:14" ht="21.75" customHeight="1">
      <c r="B591" s="96" t="s">
        <v>114</v>
      </c>
      <c r="C591" s="114" t="s">
        <v>883</v>
      </c>
      <c r="D591" s="91"/>
      <c r="E591" s="52" t="s">
        <v>252</v>
      </c>
      <c r="F591" s="115">
        <v>8</v>
      </c>
      <c r="G591" s="115">
        <v>600</v>
      </c>
      <c r="H591" s="115">
        <f t="shared" si="102"/>
        <v>4800</v>
      </c>
      <c r="I591" s="115">
        <v>30</v>
      </c>
      <c r="J591" s="115">
        <f t="shared" si="103"/>
        <v>240</v>
      </c>
      <c r="K591" s="116">
        <f t="shared" si="104"/>
        <v>5040</v>
      </c>
      <c r="N591" s="108">
        <f t="shared" si="94"/>
        <v>5040</v>
      </c>
    </row>
    <row r="592" spans="2:14" ht="21.75" customHeight="1">
      <c r="B592" s="96" t="s">
        <v>115</v>
      </c>
      <c r="C592" s="114" t="s">
        <v>116</v>
      </c>
      <c r="D592" s="91"/>
      <c r="E592" s="52" t="s">
        <v>252</v>
      </c>
      <c r="F592" s="115">
        <v>44</v>
      </c>
      <c r="G592" s="115">
        <v>2200</v>
      </c>
      <c r="H592" s="115">
        <f t="shared" si="102"/>
        <v>96800</v>
      </c>
      <c r="I592" s="115">
        <v>110</v>
      </c>
      <c r="J592" s="115">
        <f t="shared" si="103"/>
        <v>4840</v>
      </c>
      <c r="K592" s="116">
        <f t="shared" si="104"/>
        <v>101640</v>
      </c>
      <c r="N592" s="108">
        <f t="shared" si="94"/>
        <v>101640</v>
      </c>
    </row>
    <row r="593" spans="2:14" ht="21.75" customHeight="1">
      <c r="B593" s="96" t="s">
        <v>117</v>
      </c>
      <c r="C593" s="114" t="s">
        <v>118</v>
      </c>
      <c r="D593" s="91"/>
      <c r="E593" s="52" t="s">
        <v>252</v>
      </c>
      <c r="F593" s="115">
        <v>17</v>
      </c>
      <c r="G593" s="115">
        <v>4000</v>
      </c>
      <c r="H593" s="115">
        <f t="shared" si="102"/>
        <v>68000</v>
      </c>
      <c r="I593" s="115">
        <v>110</v>
      </c>
      <c r="J593" s="115">
        <f t="shared" si="103"/>
        <v>1870</v>
      </c>
      <c r="K593" s="116">
        <f t="shared" si="104"/>
        <v>69870</v>
      </c>
      <c r="N593" s="108">
        <f t="shared" si="94"/>
        <v>69870</v>
      </c>
    </row>
    <row r="594" spans="2:14" ht="21.75" customHeight="1">
      <c r="B594" s="96" t="s">
        <v>119</v>
      </c>
      <c r="C594" s="114" t="s">
        <v>121</v>
      </c>
      <c r="D594" s="91"/>
      <c r="E594" s="52" t="s">
        <v>233</v>
      </c>
      <c r="F594" s="115">
        <v>61</v>
      </c>
      <c r="G594" s="115">
        <v>2200</v>
      </c>
      <c r="H594" s="115">
        <f t="shared" si="102"/>
        <v>134200</v>
      </c>
      <c r="I594" s="115">
        <v>450</v>
      </c>
      <c r="J594" s="115">
        <f t="shared" si="103"/>
        <v>27450</v>
      </c>
      <c r="K594" s="116">
        <f t="shared" si="104"/>
        <v>161650</v>
      </c>
      <c r="N594" s="108">
        <f t="shared" si="94"/>
        <v>161650</v>
      </c>
    </row>
    <row r="595" spans="2:14" ht="21.75" customHeight="1">
      <c r="B595" s="96" t="s">
        <v>122</v>
      </c>
      <c r="C595" s="114" t="s">
        <v>163</v>
      </c>
      <c r="D595" s="91"/>
      <c r="E595" s="52" t="s">
        <v>233</v>
      </c>
      <c r="F595" s="115">
        <v>159</v>
      </c>
      <c r="G595" s="115">
        <v>600</v>
      </c>
      <c r="H595" s="115">
        <f t="shared" si="102"/>
        <v>95400</v>
      </c>
      <c r="I595" s="115">
        <v>150</v>
      </c>
      <c r="J595" s="115">
        <f t="shared" si="103"/>
        <v>23850</v>
      </c>
      <c r="K595" s="116">
        <f t="shared" si="104"/>
        <v>119250</v>
      </c>
      <c r="N595" s="108">
        <f t="shared" si="94"/>
        <v>119250</v>
      </c>
    </row>
    <row r="596" spans="2:14" ht="21.75" customHeight="1">
      <c r="B596" s="96" t="s">
        <v>495</v>
      </c>
      <c r="C596" s="114" t="s">
        <v>164</v>
      </c>
      <c r="D596" s="91"/>
      <c r="E596" s="52" t="s">
        <v>252</v>
      </c>
      <c r="F596" s="115">
        <v>76</v>
      </c>
      <c r="G596" s="115">
        <v>260</v>
      </c>
      <c r="H596" s="115">
        <f t="shared" si="102"/>
        <v>19760</v>
      </c>
      <c r="I596" s="115">
        <v>60</v>
      </c>
      <c r="J596" s="115">
        <f t="shared" si="103"/>
        <v>4560</v>
      </c>
      <c r="K596" s="116">
        <f t="shared" si="104"/>
        <v>24320</v>
      </c>
      <c r="N596" s="108">
        <f t="shared" si="94"/>
        <v>24320</v>
      </c>
    </row>
    <row r="597" spans="2:14" ht="21.75" customHeight="1">
      <c r="B597" s="52">
        <v>27</v>
      </c>
      <c r="C597" s="114" t="s">
        <v>123</v>
      </c>
      <c r="D597" s="91"/>
      <c r="E597" s="52"/>
      <c r="F597" s="115"/>
      <c r="G597" s="115"/>
      <c r="H597" s="115"/>
      <c r="I597" s="115"/>
      <c r="J597" s="115"/>
      <c r="K597" s="116"/>
      <c r="N597" s="108">
        <f t="shared" si="94"/>
        <v>0</v>
      </c>
    </row>
    <row r="598" spans="2:14" ht="21.75" customHeight="1">
      <c r="B598" s="119"/>
      <c r="C598" s="117" t="s">
        <v>124</v>
      </c>
      <c r="D598" s="91" t="s">
        <v>125</v>
      </c>
      <c r="E598" s="52" t="s">
        <v>252</v>
      </c>
      <c r="F598" s="115">
        <v>2</v>
      </c>
      <c r="G598" s="115">
        <v>21800</v>
      </c>
      <c r="H598" s="115">
        <f>F598*G598</f>
        <v>43600</v>
      </c>
      <c r="I598" s="115">
        <v>1500</v>
      </c>
      <c r="J598" s="115">
        <f>F598*I598</f>
        <v>3000</v>
      </c>
      <c r="K598" s="116">
        <f>H598+J598</f>
        <v>46600</v>
      </c>
      <c r="N598" s="108">
        <f t="shared" si="94"/>
        <v>46600</v>
      </c>
    </row>
    <row r="599" spans="2:14" ht="21.75" customHeight="1">
      <c r="B599" s="119"/>
      <c r="C599" s="117" t="s">
        <v>124</v>
      </c>
      <c r="D599" s="91" t="s">
        <v>126</v>
      </c>
      <c r="E599" s="52" t="s">
        <v>252</v>
      </c>
      <c r="F599" s="115">
        <v>1</v>
      </c>
      <c r="G599" s="115">
        <v>39200</v>
      </c>
      <c r="H599" s="115">
        <f>F599*G599</f>
        <v>39200</v>
      </c>
      <c r="I599" s="115">
        <v>1500</v>
      </c>
      <c r="J599" s="115">
        <f>F599*I599</f>
        <v>1500</v>
      </c>
      <c r="K599" s="116">
        <f>H599+J599</f>
        <v>40700</v>
      </c>
      <c r="N599" s="108">
        <f t="shared" si="94"/>
        <v>40700</v>
      </c>
    </row>
    <row r="600" spans="2:14" ht="21.75" customHeight="1">
      <c r="B600" s="119">
        <v>28</v>
      </c>
      <c r="C600" s="114" t="s">
        <v>127</v>
      </c>
      <c r="D600" s="91"/>
      <c r="E600" s="52"/>
      <c r="F600" s="115"/>
      <c r="G600" s="115"/>
      <c r="H600" s="115"/>
      <c r="I600" s="115"/>
      <c r="J600" s="115"/>
      <c r="K600" s="116"/>
      <c r="N600" s="108">
        <f t="shared" si="94"/>
        <v>0</v>
      </c>
    </row>
    <row r="601" spans="2:14" ht="21.75" customHeight="1">
      <c r="B601" s="119"/>
      <c r="C601" s="117" t="s">
        <v>124</v>
      </c>
      <c r="D601" s="91" t="s">
        <v>128</v>
      </c>
      <c r="E601" s="52" t="s">
        <v>252</v>
      </c>
      <c r="F601" s="115">
        <v>8</v>
      </c>
      <c r="G601" s="115">
        <v>21510</v>
      </c>
      <c r="H601" s="115">
        <f aca="true" t="shared" si="105" ref="H601:H606">F601*G601</f>
        <v>172080</v>
      </c>
      <c r="I601" s="115">
        <v>1500</v>
      </c>
      <c r="J601" s="115">
        <f aca="true" t="shared" si="106" ref="J601:J606">F601*I601</f>
        <v>12000</v>
      </c>
      <c r="K601" s="116">
        <f aca="true" t="shared" si="107" ref="K601:K606">H601+J601</f>
        <v>184080</v>
      </c>
      <c r="N601" s="108">
        <f t="shared" si="94"/>
        <v>184080</v>
      </c>
    </row>
    <row r="602" spans="2:14" ht="21.75" customHeight="1">
      <c r="B602" s="119"/>
      <c r="C602" s="117" t="s">
        <v>124</v>
      </c>
      <c r="D602" s="91" t="s">
        <v>129</v>
      </c>
      <c r="E602" s="52" t="s">
        <v>252</v>
      </c>
      <c r="F602" s="115">
        <v>2</v>
      </c>
      <c r="G602" s="115">
        <v>22342</v>
      </c>
      <c r="H602" s="115">
        <f t="shared" si="105"/>
        <v>44684</v>
      </c>
      <c r="I602" s="115">
        <v>1500</v>
      </c>
      <c r="J602" s="115">
        <f t="shared" si="106"/>
        <v>3000</v>
      </c>
      <c r="K602" s="116">
        <f t="shared" si="107"/>
        <v>47684</v>
      </c>
      <c r="N602" s="108">
        <f t="shared" si="94"/>
        <v>47684</v>
      </c>
    </row>
    <row r="603" spans="2:14" ht="21.75" customHeight="1">
      <c r="B603" s="119"/>
      <c r="C603" s="117" t="s">
        <v>124</v>
      </c>
      <c r="D603" s="91" t="s">
        <v>130</v>
      </c>
      <c r="E603" s="52" t="s">
        <v>252</v>
      </c>
      <c r="F603" s="115">
        <v>6</v>
      </c>
      <c r="G603" s="115">
        <v>26500</v>
      </c>
      <c r="H603" s="115">
        <f t="shared" si="105"/>
        <v>159000</v>
      </c>
      <c r="I603" s="115">
        <v>1500</v>
      </c>
      <c r="J603" s="115">
        <f t="shared" si="106"/>
        <v>9000</v>
      </c>
      <c r="K603" s="116">
        <f t="shared" si="107"/>
        <v>168000</v>
      </c>
      <c r="N603" s="108">
        <f t="shared" si="94"/>
        <v>168000</v>
      </c>
    </row>
    <row r="604" spans="2:14" ht="21.75" customHeight="1">
      <c r="B604" s="119"/>
      <c r="C604" s="117" t="s">
        <v>124</v>
      </c>
      <c r="D604" s="91" t="s">
        <v>126</v>
      </c>
      <c r="E604" s="52" t="s">
        <v>252</v>
      </c>
      <c r="F604" s="115">
        <v>10</v>
      </c>
      <c r="G604" s="115">
        <v>32500</v>
      </c>
      <c r="H604" s="115">
        <f t="shared" si="105"/>
        <v>325000</v>
      </c>
      <c r="I604" s="115">
        <v>1500</v>
      </c>
      <c r="J604" s="115">
        <f t="shared" si="106"/>
        <v>15000</v>
      </c>
      <c r="K604" s="116">
        <f t="shared" si="107"/>
        <v>340000</v>
      </c>
      <c r="N604" s="108">
        <f aca="true" t="shared" si="108" ref="N604:N665">(G604+I604)*F604</f>
        <v>340000</v>
      </c>
    </row>
    <row r="605" spans="2:14" ht="21.75" customHeight="1">
      <c r="B605" s="119"/>
      <c r="C605" s="117" t="s">
        <v>124</v>
      </c>
      <c r="D605" s="91" t="s">
        <v>131</v>
      </c>
      <c r="E605" s="52" t="s">
        <v>252</v>
      </c>
      <c r="F605" s="115">
        <v>4</v>
      </c>
      <c r="G605" s="115">
        <v>36500</v>
      </c>
      <c r="H605" s="115">
        <f t="shared" si="105"/>
        <v>146000</v>
      </c>
      <c r="I605" s="115">
        <v>1500</v>
      </c>
      <c r="J605" s="115">
        <f t="shared" si="106"/>
        <v>6000</v>
      </c>
      <c r="K605" s="116">
        <f t="shared" si="107"/>
        <v>152000</v>
      </c>
      <c r="N605" s="108">
        <f t="shared" si="108"/>
        <v>152000</v>
      </c>
    </row>
    <row r="606" spans="2:14" ht="21.75" customHeight="1">
      <c r="B606" s="119"/>
      <c r="C606" s="117" t="s">
        <v>124</v>
      </c>
      <c r="D606" s="91" t="s">
        <v>132</v>
      </c>
      <c r="E606" s="52" t="s">
        <v>252</v>
      </c>
      <c r="F606" s="115">
        <v>14</v>
      </c>
      <c r="G606" s="115">
        <v>41000</v>
      </c>
      <c r="H606" s="115">
        <f t="shared" si="105"/>
        <v>574000</v>
      </c>
      <c r="I606" s="115">
        <v>2000</v>
      </c>
      <c r="J606" s="115">
        <f t="shared" si="106"/>
        <v>28000</v>
      </c>
      <c r="K606" s="116">
        <f t="shared" si="107"/>
        <v>602000</v>
      </c>
      <c r="N606" s="108">
        <f t="shared" si="108"/>
        <v>602000</v>
      </c>
    </row>
    <row r="607" spans="2:14" ht="21.75" customHeight="1">
      <c r="B607" s="119">
        <v>29</v>
      </c>
      <c r="C607" s="114" t="s">
        <v>133</v>
      </c>
      <c r="D607" s="91"/>
      <c r="E607" s="52"/>
      <c r="F607" s="115"/>
      <c r="G607" s="115"/>
      <c r="H607" s="115"/>
      <c r="I607" s="115"/>
      <c r="J607" s="115"/>
      <c r="K607" s="116"/>
      <c r="N607" s="108">
        <f t="shared" si="108"/>
        <v>0</v>
      </c>
    </row>
    <row r="608" spans="2:14" ht="21.75" customHeight="1">
      <c r="B608" s="119"/>
      <c r="C608" s="117" t="s">
        <v>124</v>
      </c>
      <c r="D608" s="91" t="s">
        <v>130</v>
      </c>
      <c r="E608" s="52" t="s">
        <v>252</v>
      </c>
      <c r="F608" s="115">
        <v>9</v>
      </c>
      <c r="G608" s="115">
        <v>29610</v>
      </c>
      <c r="H608" s="115">
        <f aca="true" t="shared" si="109" ref="H608:H613">F608*G608</f>
        <v>266490</v>
      </c>
      <c r="I608" s="115">
        <v>1500</v>
      </c>
      <c r="J608" s="115">
        <f aca="true" t="shared" si="110" ref="J608:J613">F608*I608</f>
        <v>13500</v>
      </c>
      <c r="K608" s="116">
        <f aca="true" t="shared" si="111" ref="K608:K614">H608+J608</f>
        <v>279990</v>
      </c>
      <c r="N608" s="108">
        <f t="shared" si="108"/>
        <v>279990</v>
      </c>
    </row>
    <row r="609" spans="2:14" ht="21.75" customHeight="1">
      <c r="B609" s="119"/>
      <c r="C609" s="117" t="s">
        <v>124</v>
      </c>
      <c r="D609" s="91" t="s">
        <v>126</v>
      </c>
      <c r="E609" s="52" t="s">
        <v>252</v>
      </c>
      <c r="F609" s="115">
        <v>2</v>
      </c>
      <c r="G609" s="115">
        <v>35500</v>
      </c>
      <c r="H609" s="115">
        <f t="shared" si="109"/>
        <v>71000</v>
      </c>
      <c r="I609" s="115">
        <v>1500</v>
      </c>
      <c r="J609" s="115">
        <f t="shared" si="110"/>
        <v>3000</v>
      </c>
      <c r="K609" s="116">
        <f t="shared" si="111"/>
        <v>74000</v>
      </c>
      <c r="M609" s="120"/>
      <c r="N609" s="108">
        <f t="shared" si="108"/>
        <v>74000</v>
      </c>
    </row>
    <row r="610" spans="2:14" ht="21.75" customHeight="1">
      <c r="B610" s="119"/>
      <c r="C610" s="117" t="s">
        <v>124</v>
      </c>
      <c r="D610" s="91" t="s">
        <v>134</v>
      </c>
      <c r="E610" s="52" t="s">
        <v>252</v>
      </c>
      <c r="F610" s="115">
        <v>2</v>
      </c>
      <c r="G610" s="115">
        <v>58410</v>
      </c>
      <c r="H610" s="115">
        <f t="shared" si="109"/>
        <v>116820</v>
      </c>
      <c r="I610" s="115">
        <v>3000</v>
      </c>
      <c r="J610" s="115">
        <f t="shared" si="110"/>
        <v>6000</v>
      </c>
      <c r="K610" s="116">
        <f t="shared" si="111"/>
        <v>122820</v>
      </c>
      <c r="M610" s="121"/>
      <c r="N610" s="108">
        <f t="shared" si="108"/>
        <v>122820</v>
      </c>
    </row>
    <row r="611" spans="2:14" ht="21.75" customHeight="1">
      <c r="B611" s="119"/>
      <c r="C611" s="117" t="s">
        <v>124</v>
      </c>
      <c r="D611" s="91" t="s">
        <v>135</v>
      </c>
      <c r="E611" s="52" t="s">
        <v>252</v>
      </c>
      <c r="F611" s="115">
        <v>1</v>
      </c>
      <c r="G611" s="115">
        <v>250700</v>
      </c>
      <c r="H611" s="115">
        <f t="shared" si="109"/>
        <v>250700</v>
      </c>
      <c r="I611" s="115">
        <v>6000</v>
      </c>
      <c r="J611" s="115">
        <f t="shared" si="110"/>
        <v>6000</v>
      </c>
      <c r="K611" s="116">
        <f t="shared" si="111"/>
        <v>256700</v>
      </c>
      <c r="N611" s="108">
        <f t="shared" si="108"/>
        <v>256700</v>
      </c>
    </row>
    <row r="612" spans="2:14" ht="21.75" customHeight="1">
      <c r="B612" s="119" t="s">
        <v>496</v>
      </c>
      <c r="C612" s="114" t="s">
        <v>136</v>
      </c>
      <c r="D612" s="91"/>
      <c r="E612" s="52" t="s">
        <v>252</v>
      </c>
      <c r="F612" s="115">
        <v>19</v>
      </c>
      <c r="G612" s="115">
        <v>3280</v>
      </c>
      <c r="H612" s="115">
        <f t="shared" si="109"/>
        <v>62320</v>
      </c>
      <c r="I612" s="115">
        <v>650</v>
      </c>
      <c r="J612" s="115">
        <f t="shared" si="110"/>
        <v>12350</v>
      </c>
      <c r="K612" s="116">
        <f t="shared" si="111"/>
        <v>74670</v>
      </c>
      <c r="N612" s="108">
        <f t="shared" si="108"/>
        <v>74670</v>
      </c>
    </row>
    <row r="613" spans="2:14" ht="21.75" customHeight="1">
      <c r="B613" s="119" t="s">
        <v>497</v>
      </c>
      <c r="C613" s="114" t="s">
        <v>137</v>
      </c>
      <c r="D613" s="91"/>
      <c r="E613" s="52" t="s">
        <v>252</v>
      </c>
      <c r="F613" s="115">
        <v>27</v>
      </c>
      <c r="G613" s="115">
        <v>4270</v>
      </c>
      <c r="H613" s="115">
        <f t="shared" si="109"/>
        <v>115290</v>
      </c>
      <c r="I613" s="115">
        <v>650</v>
      </c>
      <c r="J613" s="115">
        <f t="shared" si="110"/>
        <v>17550</v>
      </c>
      <c r="K613" s="116">
        <f t="shared" si="111"/>
        <v>132840</v>
      </c>
      <c r="N613" s="108">
        <f t="shared" si="108"/>
        <v>132840</v>
      </c>
    </row>
    <row r="614" spans="2:14" ht="21.75" customHeight="1">
      <c r="B614" s="119" t="s">
        <v>498</v>
      </c>
      <c r="C614" s="114" t="s">
        <v>138</v>
      </c>
      <c r="D614" s="91"/>
      <c r="E614" s="52" t="s">
        <v>252</v>
      </c>
      <c r="F614" s="115">
        <v>28</v>
      </c>
      <c r="G614" s="115">
        <v>7870</v>
      </c>
      <c r="H614" s="115">
        <f>F614*G614</f>
        <v>220360</v>
      </c>
      <c r="I614" s="115">
        <v>650</v>
      </c>
      <c r="J614" s="115">
        <f>F614*I614</f>
        <v>18200</v>
      </c>
      <c r="K614" s="116">
        <f t="shared" si="111"/>
        <v>238560</v>
      </c>
      <c r="N614" s="108">
        <f t="shared" si="108"/>
        <v>238560</v>
      </c>
    </row>
    <row r="615" spans="2:14" ht="21.75" customHeight="1">
      <c r="B615" s="119" t="s">
        <v>499</v>
      </c>
      <c r="C615" s="114" t="s">
        <v>139</v>
      </c>
      <c r="D615" s="91"/>
      <c r="E615" s="52"/>
      <c r="F615" s="115"/>
      <c r="G615" s="115"/>
      <c r="H615" s="115"/>
      <c r="I615" s="115"/>
      <c r="J615" s="115"/>
      <c r="K615" s="116"/>
      <c r="N615" s="108">
        <f t="shared" si="108"/>
        <v>0</v>
      </c>
    </row>
    <row r="616" spans="2:14" ht="21.75" customHeight="1">
      <c r="B616" s="119"/>
      <c r="C616" s="114" t="s">
        <v>140</v>
      </c>
      <c r="D616" s="91"/>
      <c r="E616" s="52" t="s">
        <v>252</v>
      </c>
      <c r="F616" s="115">
        <v>2</v>
      </c>
      <c r="G616" s="115">
        <v>7410</v>
      </c>
      <c r="H616" s="115">
        <f>F616*G616</f>
        <v>14820</v>
      </c>
      <c r="I616" s="115">
        <v>650</v>
      </c>
      <c r="J616" s="115">
        <f>F616*I616</f>
        <v>1300</v>
      </c>
      <c r="K616" s="116">
        <f>H616+J616</f>
        <v>16120</v>
      </c>
      <c r="N616" s="108">
        <f t="shared" si="108"/>
        <v>16120</v>
      </c>
    </row>
    <row r="617" spans="2:14" ht="21.75" customHeight="1">
      <c r="B617" s="119" t="s">
        <v>500</v>
      </c>
      <c r="C617" s="114" t="s">
        <v>141</v>
      </c>
      <c r="D617" s="91"/>
      <c r="E617" s="52" t="s">
        <v>252</v>
      </c>
      <c r="F617" s="115">
        <v>25</v>
      </c>
      <c r="G617" s="115">
        <v>1730</v>
      </c>
      <c r="H617" s="115">
        <f>F617*G617</f>
        <v>43250</v>
      </c>
      <c r="I617" s="115">
        <v>450</v>
      </c>
      <c r="J617" s="115">
        <f>F617*I617</f>
        <v>11250</v>
      </c>
      <c r="K617" s="116">
        <f>H617+J617</f>
        <v>54500</v>
      </c>
      <c r="N617" s="108">
        <f t="shared" si="108"/>
        <v>54500</v>
      </c>
    </row>
    <row r="618" spans="2:14" ht="21.75" customHeight="1">
      <c r="B618" s="119" t="s">
        <v>501</v>
      </c>
      <c r="C618" s="114" t="s">
        <v>142</v>
      </c>
      <c r="D618" s="91"/>
      <c r="E618" s="52" t="s">
        <v>252</v>
      </c>
      <c r="F618" s="115">
        <v>58</v>
      </c>
      <c r="G618" s="115">
        <v>1950</v>
      </c>
      <c r="H618" s="115">
        <f>F618*G618</f>
        <v>113100</v>
      </c>
      <c r="I618" s="115">
        <v>450</v>
      </c>
      <c r="J618" s="115">
        <f>F618*I618</f>
        <v>26100</v>
      </c>
      <c r="K618" s="116">
        <f>H618+J618</f>
        <v>139200</v>
      </c>
      <c r="N618" s="108">
        <f t="shared" si="108"/>
        <v>139200</v>
      </c>
    </row>
    <row r="619" spans="2:14" ht="21.75" customHeight="1">
      <c r="B619" s="119"/>
      <c r="C619" s="114"/>
      <c r="D619" s="91"/>
      <c r="E619" s="52"/>
      <c r="F619" s="115"/>
      <c r="G619" s="115"/>
      <c r="H619" s="115"/>
      <c r="I619" s="115"/>
      <c r="J619" s="115"/>
      <c r="K619" s="116"/>
      <c r="N619" s="108">
        <f t="shared" si="108"/>
        <v>0</v>
      </c>
    </row>
    <row r="620" spans="2:14" ht="21.75" customHeight="1">
      <c r="B620" s="105"/>
      <c r="C620" s="702" t="s">
        <v>234</v>
      </c>
      <c r="D620" s="703"/>
      <c r="E620" s="70"/>
      <c r="F620" s="71"/>
      <c r="G620" s="71"/>
      <c r="H620" s="71">
        <f>SUM(H570:H618)</f>
        <v>3827890</v>
      </c>
      <c r="I620" s="71"/>
      <c r="J620" s="71">
        <f>SUM(J570:J618)</f>
        <v>489754</v>
      </c>
      <c r="K620" s="71">
        <f>SUM(K570:K618)</f>
        <v>4317644</v>
      </c>
      <c r="M620" s="65">
        <f>SUM(H620,J620)</f>
        <v>4317644</v>
      </c>
      <c r="N620" s="108">
        <f t="shared" si="108"/>
        <v>0</v>
      </c>
    </row>
    <row r="621" spans="2:14" ht="21.75" customHeight="1">
      <c r="B621" s="78"/>
      <c r="C621" s="72"/>
      <c r="D621" s="72"/>
      <c r="E621" s="75"/>
      <c r="F621" s="71"/>
      <c r="G621" s="71"/>
      <c r="H621" s="71"/>
      <c r="I621" s="71"/>
      <c r="J621" s="71"/>
      <c r="K621" s="71"/>
      <c r="M621" s="65"/>
      <c r="N621" s="108">
        <f t="shared" si="108"/>
        <v>0</v>
      </c>
    </row>
    <row r="622" spans="2:14" ht="21.75" customHeight="1">
      <c r="B622" s="78"/>
      <c r="C622" s="72"/>
      <c r="D622" s="72"/>
      <c r="E622" s="75"/>
      <c r="F622" s="71"/>
      <c r="G622" s="71"/>
      <c r="H622" s="71"/>
      <c r="I622" s="71"/>
      <c r="J622" s="71"/>
      <c r="K622" s="71"/>
      <c r="M622" s="65"/>
      <c r="N622" s="108"/>
    </row>
    <row r="623" spans="2:14" ht="21.75" customHeight="1">
      <c r="B623" s="51"/>
      <c r="C623" s="702" t="s">
        <v>696</v>
      </c>
      <c r="D623" s="703"/>
      <c r="E623" s="52"/>
      <c r="F623" s="53"/>
      <c r="G623" s="53"/>
      <c r="H623" s="53"/>
      <c r="I623" s="53"/>
      <c r="J623" s="53"/>
      <c r="K623" s="53"/>
      <c r="N623" s="108">
        <f t="shared" si="108"/>
        <v>0</v>
      </c>
    </row>
    <row r="624" spans="2:14" ht="21.75" customHeight="1">
      <c r="B624" s="51">
        <v>1</v>
      </c>
      <c r="C624" s="109" t="s">
        <v>623</v>
      </c>
      <c r="D624" s="125"/>
      <c r="E624" s="52"/>
      <c r="F624" s="110"/>
      <c r="G624" s="111"/>
      <c r="H624" s="86"/>
      <c r="I624" s="110"/>
      <c r="J624" s="86"/>
      <c r="K624" s="86"/>
      <c r="N624" s="108">
        <f t="shared" si="108"/>
        <v>0</v>
      </c>
    </row>
    <row r="625" spans="2:14" ht="21.75" customHeight="1">
      <c r="B625" s="85"/>
      <c r="C625" s="109" t="s">
        <v>187</v>
      </c>
      <c r="D625" s="125"/>
      <c r="E625" s="52" t="s">
        <v>252</v>
      </c>
      <c r="F625" s="110">
        <v>2</v>
      </c>
      <c r="G625" s="111">
        <v>2169000</v>
      </c>
      <c r="H625" s="86">
        <f>F625*G625</f>
        <v>4338000</v>
      </c>
      <c r="I625" s="110">
        <v>0</v>
      </c>
      <c r="J625" s="86">
        <v>0</v>
      </c>
      <c r="K625" s="86">
        <f>F625*(G625+I625)</f>
        <v>4338000</v>
      </c>
      <c r="M625" s="3">
        <f>55000*2</f>
        <v>110000</v>
      </c>
      <c r="N625" s="108">
        <f t="shared" si="108"/>
        <v>4338000</v>
      </c>
    </row>
    <row r="626" spans="2:14" ht="21.75" customHeight="1">
      <c r="B626" s="85">
        <v>2</v>
      </c>
      <c r="C626" s="109" t="s">
        <v>188</v>
      </c>
      <c r="D626" s="125"/>
      <c r="E626" s="52"/>
      <c r="F626" s="110"/>
      <c r="G626" s="111"/>
      <c r="H626" s="86"/>
      <c r="I626" s="110"/>
      <c r="J626" s="86"/>
      <c r="K626" s="86"/>
      <c r="N626" s="108">
        <f t="shared" si="108"/>
        <v>0</v>
      </c>
    </row>
    <row r="627" spans="2:14" ht="21.75" customHeight="1">
      <c r="B627" s="85"/>
      <c r="C627" s="109" t="s">
        <v>785</v>
      </c>
      <c r="D627" s="125"/>
      <c r="E627" s="52" t="s">
        <v>252</v>
      </c>
      <c r="F627" s="110">
        <v>1</v>
      </c>
      <c r="G627" s="111">
        <v>2407000</v>
      </c>
      <c r="H627" s="86">
        <f>F627*G627</f>
        <v>2407000</v>
      </c>
      <c r="I627" s="110">
        <v>0</v>
      </c>
      <c r="J627" s="86">
        <v>0</v>
      </c>
      <c r="K627" s="86">
        <f>F627*(G627+I627)</f>
        <v>2407000</v>
      </c>
      <c r="N627" s="108">
        <f t="shared" si="108"/>
        <v>2407000</v>
      </c>
    </row>
    <row r="628" spans="2:14" ht="21.75" customHeight="1">
      <c r="B628" s="85"/>
      <c r="C628" s="109"/>
      <c r="D628" s="125"/>
      <c r="E628" s="52"/>
      <c r="F628" s="110"/>
      <c r="G628" s="111"/>
      <c r="H628" s="86"/>
      <c r="I628" s="110"/>
      <c r="J628" s="86"/>
      <c r="K628" s="86"/>
      <c r="N628" s="108">
        <f t="shared" si="108"/>
        <v>0</v>
      </c>
    </row>
    <row r="629" spans="2:14" ht="21.75" customHeight="1">
      <c r="B629" s="51"/>
      <c r="C629" s="702" t="s">
        <v>234</v>
      </c>
      <c r="D629" s="703"/>
      <c r="E629" s="70"/>
      <c r="F629" s="71"/>
      <c r="G629" s="71"/>
      <c r="H629" s="71">
        <f>SUM(H625:H628)</f>
        <v>6745000</v>
      </c>
      <c r="I629" s="71"/>
      <c r="J629" s="71">
        <f>SUM(J625:J628)</f>
        <v>0</v>
      </c>
      <c r="K629" s="71">
        <f>SUM(K625:K628)</f>
        <v>6745000</v>
      </c>
      <c r="M629" s="65">
        <f>SUM(H629,J629)</f>
        <v>6745000</v>
      </c>
      <c r="N629" s="108">
        <f t="shared" si="108"/>
        <v>0</v>
      </c>
    </row>
    <row r="630" spans="2:14" ht="21.75" customHeight="1">
      <c r="B630" s="78"/>
      <c r="C630" s="72"/>
      <c r="D630" s="72"/>
      <c r="E630" s="75"/>
      <c r="F630" s="71"/>
      <c r="G630" s="71"/>
      <c r="H630" s="71"/>
      <c r="I630" s="71"/>
      <c r="J630" s="71"/>
      <c r="K630" s="71"/>
      <c r="M630" s="65"/>
      <c r="N630" s="108">
        <f t="shared" si="108"/>
        <v>0</v>
      </c>
    </row>
    <row r="631" spans="2:14" ht="21.75" customHeight="1">
      <c r="B631" s="78"/>
      <c r="C631" s="72"/>
      <c r="D631" s="72"/>
      <c r="E631" s="75"/>
      <c r="F631" s="71"/>
      <c r="G631" s="71"/>
      <c r="H631" s="71"/>
      <c r="I631" s="71"/>
      <c r="J631" s="71"/>
      <c r="K631" s="71"/>
      <c r="M631" s="65"/>
      <c r="N631" s="108">
        <f t="shared" si="108"/>
        <v>0</v>
      </c>
    </row>
    <row r="632" spans="2:14" ht="21.75" customHeight="1">
      <c r="B632" s="51"/>
      <c r="C632" s="73" t="s">
        <v>705</v>
      </c>
      <c r="D632" s="72"/>
      <c r="E632" s="70"/>
      <c r="F632" s="71"/>
      <c r="G632" s="71"/>
      <c r="H632" s="71"/>
      <c r="I632" s="71"/>
      <c r="J632" s="71"/>
      <c r="K632" s="71"/>
      <c r="M632" s="65"/>
      <c r="N632" s="108">
        <f t="shared" si="108"/>
        <v>0</v>
      </c>
    </row>
    <row r="633" spans="2:14" ht="21.75" customHeight="1">
      <c r="B633" s="51"/>
      <c r="C633" s="702" t="s">
        <v>697</v>
      </c>
      <c r="D633" s="703"/>
      <c r="E633" s="52"/>
      <c r="F633" s="53"/>
      <c r="G633" s="53"/>
      <c r="H633" s="53"/>
      <c r="I633" s="53"/>
      <c r="J633" s="53"/>
      <c r="K633" s="53"/>
      <c r="M633" s="65"/>
      <c r="N633" s="108">
        <f t="shared" si="108"/>
        <v>0</v>
      </c>
    </row>
    <row r="634" spans="2:14" ht="21.75" customHeight="1">
      <c r="B634" s="51">
        <v>1</v>
      </c>
      <c r="C634" s="107" t="s">
        <v>624</v>
      </c>
      <c r="D634" s="107"/>
      <c r="E634" s="52"/>
      <c r="F634" s="110"/>
      <c r="G634" s="111"/>
      <c r="H634" s="86"/>
      <c r="I634" s="110"/>
      <c r="J634" s="89"/>
      <c r="K634" s="86"/>
      <c r="M634" s="65"/>
      <c r="N634" s="108">
        <f t="shared" si="108"/>
        <v>0</v>
      </c>
    </row>
    <row r="635" spans="2:14" ht="21.75" customHeight="1">
      <c r="B635" s="85"/>
      <c r="C635" s="107" t="s">
        <v>625</v>
      </c>
      <c r="D635" s="107"/>
      <c r="E635" s="52"/>
      <c r="F635" s="110"/>
      <c r="G635" s="111"/>
      <c r="H635" s="86"/>
      <c r="I635" s="110"/>
      <c r="J635" s="89"/>
      <c r="K635" s="86"/>
      <c r="M635" s="65"/>
      <c r="N635" s="108">
        <f t="shared" si="108"/>
        <v>0</v>
      </c>
    </row>
    <row r="636" spans="2:14" ht="21.75" customHeight="1">
      <c r="B636" s="85"/>
      <c r="C636" s="107" t="s">
        <v>626</v>
      </c>
      <c r="D636" s="107"/>
      <c r="E636" s="52" t="s">
        <v>252</v>
      </c>
      <c r="F636" s="110">
        <v>73</v>
      </c>
      <c r="G636" s="111">
        <v>2800</v>
      </c>
      <c r="H636" s="86">
        <f>F636*G636</f>
        <v>204400</v>
      </c>
      <c r="I636" s="110">
        <v>100</v>
      </c>
      <c r="J636" s="89">
        <f>F636*I636</f>
        <v>7300</v>
      </c>
      <c r="K636" s="86">
        <f>F636*(G636+I636)</f>
        <v>211700</v>
      </c>
      <c r="M636" s="65"/>
      <c r="N636" s="108">
        <f t="shared" si="108"/>
        <v>211700</v>
      </c>
    </row>
    <row r="637" spans="2:14" ht="21.75" customHeight="1">
      <c r="B637" s="85"/>
      <c r="C637" s="107" t="s">
        <v>627</v>
      </c>
      <c r="D637" s="107"/>
      <c r="E637" s="52" t="s">
        <v>252</v>
      </c>
      <c r="F637" s="110">
        <v>7</v>
      </c>
      <c r="G637" s="111">
        <v>2800</v>
      </c>
      <c r="H637" s="86">
        <f>F637*G637</f>
        <v>19600</v>
      </c>
      <c r="I637" s="110">
        <v>100</v>
      </c>
      <c r="J637" s="89">
        <f>F637*I637</f>
        <v>700</v>
      </c>
      <c r="K637" s="86">
        <f>F637*(G637+I637)</f>
        <v>20300</v>
      </c>
      <c r="M637" s="65"/>
      <c r="N637" s="108">
        <f t="shared" si="108"/>
        <v>20300</v>
      </c>
    </row>
    <row r="638" spans="2:14" ht="21.75" customHeight="1">
      <c r="B638" s="85"/>
      <c r="C638" s="107" t="s">
        <v>628</v>
      </c>
      <c r="D638" s="107"/>
      <c r="E638" s="52" t="s">
        <v>252</v>
      </c>
      <c r="F638" s="110">
        <v>73</v>
      </c>
      <c r="G638" s="111">
        <v>2800</v>
      </c>
      <c r="H638" s="86">
        <f>F638*G638</f>
        <v>204400</v>
      </c>
      <c r="I638" s="110">
        <v>100</v>
      </c>
      <c r="J638" s="89">
        <f>F638*I638</f>
        <v>7300</v>
      </c>
      <c r="K638" s="86">
        <f>F638*(G638+I638)</f>
        <v>211700</v>
      </c>
      <c r="M638" s="65"/>
      <c r="N638" s="108">
        <f t="shared" si="108"/>
        <v>211700</v>
      </c>
    </row>
    <row r="639" spans="2:14" ht="21.75" customHeight="1">
      <c r="B639" s="85"/>
      <c r="C639" s="107" t="s">
        <v>629</v>
      </c>
      <c r="D639" s="107"/>
      <c r="E639" s="52" t="s">
        <v>252</v>
      </c>
      <c r="F639" s="110">
        <v>66</v>
      </c>
      <c r="G639" s="111">
        <v>400</v>
      </c>
      <c r="H639" s="86">
        <f>F639*G639</f>
        <v>26400</v>
      </c>
      <c r="I639" s="110">
        <v>0</v>
      </c>
      <c r="J639" s="89"/>
      <c r="K639" s="86">
        <f>F639*(G639+I639)</f>
        <v>26400</v>
      </c>
      <c r="M639" s="65"/>
      <c r="N639" s="108">
        <f t="shared" si="108"/>
        <v>26400</v>
      </c>
    </row>
    <row r="640" spans="2:14" ht="21.75" customHeight="1">
      <c r="B640" s="85"/>
      <c r="C640" s="107" t="s">
        <v>630</v>
      </c>
      <c r="D640" s="107"/>
      <c r="E640" s="52"/>
      <c r="F640" s="110"/>
      <c r="G640" s="111"/>
      <c r="H640" s="86"/>
      <c r="I640" s="110"/>
      <c r="J640" s="89"/>
      <c r="K640" s="86"/>
      <c r="M640" s="65"/>
      <c r="N640" s="108">
        <f t="shared" si="108"/>
        <v>0</v>
      </c>
    </row>
    <row r="641" spans="2:14" ht="21.75" customHeight="1">
      <c r="B641" s="85"/>
      <c r="C641" s="107" t="s">
        <v>626</v>
      </c>
      <c r="D641" s="107"/>
      <c r="E641" s="52" t="s">
        <v>252</v>
      </c>
      <c r="F641" s="110">
        <v>2</v>
      </c>
      <c r="G641" s="111">
        <v>10500</v>
      </c>
      <c r="H641" s="86">
        <f>F641*G641</f>
        <v>21000</v>
      </c>
      <c r="I641" s="110">
        <v>200</v>
      </c>
      <c r="J641" s="89">
        <f>F641*I641</f>
        <v>400</v>
      </c>
      <c r="K641" s="86">
        <f>F641*(G641+I641)</f>
        <v>21400</v>
      </c>
      <c r="M641" s="65"/>
      <c r="N641" s="108">
        <f t="shared" si="108"/>
        <v>21400</v>
      </c>
    </row>
    <row r="642" spans="2:14" ht="21.75" customHeight="1">
      <c r="B642" s="85"/>
      <c r="C642" s="107" t="s">
        <v>627</v>
      </c>
      <c r="D642" s="107"/>
      <c r="E642" s="52" t="s">
        <v>252</v>
      </c>
      <c r="F642" s="110">
        <v>1</v>
      </c>
      <c r="G642" s="111">
        <v>10500</v>
      </c>
      <c r="H642" s="86">
        <f>F642*G642</f>
        <v>10500</v>
      </c>
      <c r="I642" s="110">
        <v>200</v>
      </c>
      <c r="J642" s="89">
        <f>F642*I642</f>
        <v>200</v>
      </c>
      <c r="K642" s="86">
        <f>F642*(G642+I642)</f>
        <v>10700</v>
      </c>
      <c r="M642" s="65"/>
      <c r="N642" s="108">
        <f t="shared" si="108"/>
        <v>10700</v>
      </c>
    </row>
    <row r="643" spans="2:14" ht="21.75" customHeight="1">
      <c r="B643" s="85"/>
      <c r="C643" s="107" t="s">
        <v>631</v>
      </c>
      <c r="D643" s="107"/>
      <c r="E643" s="52" t="s">
        <v>252</v>
      </c>
      <c r="F643" s="110">
        <v>1</v>
      </c>
      <c r="G643" s="111">
        <v>10500</v>
      </c>
      <c r="H643" s="86">
        <f>F643*G643</f>
        <v>10500</v>
      </c>
      <c r="I643" s="110">
        <v>200</v>
      </c>
      <c r="J643" s="89">
        <f>F643*I643</f>
        <v>200</v>
      </c>
      <c r="K643" s="86">
        <f>F643*(G643+I643)</f>
        <v>10700</v>
      </c>
      <c r="M643" s="65"/>
      <c r="N643" s="108">
        <f t="shared" si="108"/>
        <v>10700</v>
      </c>
    </row>
    <row r="644" spans="2:14" ht="21.75" customHeight="1">
      <c r="B644" s="85"/>
      <c r="C644" s="107" t="s">
        <v>628</v>
      </c>
      <c r="D644" s="107"/>
      <c r="E644" s="52" t="s">
        <v>252</v>
      </c>
      <c r="F644" s="110">
        <v>2</v>
      </c>
      <c r="G644" s="111">
        <v>10500</v>
      </c>
      <c r="H644" s="86">
        <f>F644*G644</f>
        <v>21000</v>
      </c>
      <c r="I644" s="110">
        <v>200</v>
      </c>
      <c r="J644" s="89">
        <f>F644*I644</f>
        <v>400</v>
      </c>
      <c r="K644" s="86">
        <f>F644*(G644+I644)</f>
        <v>21400</v>
      </c>
      <c r="M644" s="65"/>
      <c r="N644" s="108">
        <f t="shared" si="108"/>
        <v>21400</v>
      </c>
    </row>
    <row r="645" spans="2:14" ht="21.75" customHeight="1">
      <c r="B645" s="85">
        <v>2</v>
      </c>
      <c r="C645" s="107" t="s">
        <v>632</v>
      </c>
      <c r="D645" s="107"/>
      <c r="E645" s="52"/>
      <c r="F645" s="110"/>
      <c r="G645" s="111"/>
      <c r="H645" s="86"/>
      <c r="I645" s="110"/>
      <c r="J645" s="89"/>
      <c r="K645" s="86"/>
      <c r="M645" s="65"/>
      <c r="N645" s="108">
        <f t="shared" si="108"/>
        <v>0</v>
      </c>
    </row>
    <row r="646" spans="2:14" ht="21.75" customHeight="1">
      <c r="B646" s="85"/>
      <c r="C646" s="107" t="s">
        <v>633</v>
      </c>
      <c r="D646" s="107"/>
      <c r="E646" s="52"/>
      <c r="F646" s="110"/>
      <c r="G646" s="111"/>
      <c r="H646" s="86"/>
      <c r="I646" s="110"/>
      <c r="J646" s="89"/>
      <c r="K646" s="86"/>
      <c r="M646" s="65"/>
      <c r="N646" s="108">
        <f t="shared" si="108"/>
        <v>0</v>
      </c>
    </row>
    <row r="647" spans="2:14" ht="21.75" customHeight="1">
      <c r="B647" s="85"/>
      <c r="C647" s="107" t="s">
        <v>634</v>
      </c>
      <c r="D647" s="107"/>
      <c r="E647" s="52"/>
      <c r="F647" s="110"/>
      <c r="G647" s="111"/>
      <c r="H647" s="86"/>
      <c r="I647" s="110"/>
      <c r="J647" s="89"/>
      <c r="K647" s="86"/>
      <c r="M647" s="65"/>
      <c r="N647" s="108">
        <f t="shared" si="108"/>
        <v>0</v>
      </c>
    </row>
    <row r="648" spans="2:14" ht="21.75" customHeight="1">
      <c r="B648" s="85"/>
      <c r="C648" s="107" t="s">
        <v>635</v>
      </c>
      <c r="D648" s="107"/>
      <c r="E648" s="52" t="s">
        <v>252</v>
      </c>
      <c r="F648" s="110">
        <v>1</v>
      </c>
      <c r="G648" s="111">
        <v>11550</v>
      </c>
      <c r="H648" s="86">
        <f aca="true" t="shared" si="112" ref="H648:H653">F648*G648</f>
        <v>11550</v>
      </c>
      <c r="I648" s="110">
        <v>200</v>
      </c>
      <c r="J648" s="89">
        <f aca="true" t="shared" si="113" ref="J648:J653">F648*I648</f>
        <v>200</v>
      </c>
      <c r="K648" s="86">
        <f aca="true" t="shared" si="114" ref="K648:K653">F648*(G648+I648)</f>
        <v>11750</v>
      </c>
      <c r="M648" s="65"/>
      <c r="N648" s="108">
        <f t="shared" si="108"/>
        <v>11750</v>
      </c>
    </row>
    <row r="649" spans="2:14" ht="21.75" customHeight="1">
      <c r="B649" s="85"/>
      <c r="C649" s="107" t="s">
        <v>636</v>
      </c>
      <c r="D649" s="107"/>
      <c r="E649" s="52" t="s">
        <v>252</v>
      </c>
      <c r="F649" s="110">
        <v>3</v>
      </c>
      <c r="G649" s="111">
        <v>11935</v>
      </c>
      <c r="H649" s="86">
        <f t="shared" si="112"/>
        <v>35805</v>
      </c>
      <c r="I649" s="110">
        <v>200</v>
      </c>
      <c r="J649" s="89">
        <f t="shared" si="113"/>
        <v>600</v>
      </c>
      <c r="K649" s="86">
        <f t="shared" si="114"/>
        <v>36405</v>
      </c>
      <c r="M649" s="65"/>
      <c r="N649" s="108">
        <f t="shared" si="108"/>
        <v>36405</v>
      </c>
    </row>
    <row r="650" spans="2:14" ht="21.75" customHeight="1">
      <c r="B650" s="85"/>
      <c r="C650" s="107" t="s">
        <v>637</v>
      </c>
      <c r="D650" s="107"/>
      <c r="E650" s="52" t="s">
        <v>252</v>
      </c>
      <c r="F650" s="110">
        <v>2</v>
      </c>
      <c r="G650" s="111">
        <v>11900</v>
      </c>
      <c r="H650" s="86">
        <f t="shared" si="112"/>
        <v>23800</v>
      </c>
      <c r="I650" s="110">
        <v>200</v>
      </c>
      <c r="J650" s="89">
        <f t="shared" si="113"/>
        <v>400</v>
      </c>
      <c r="K650" s="86">
        <f t="shared" si="114"/>
        <v>24200</v>
      </c>
      <c r="M650" s="65"/>
      <c r="N650" s="108">
        <f t="shared" si="108"/>
        <v>24200</v>
      </c>
    </row>
    <row r="651" spans="2:14" ht="21.75" customHeight="1">
      <c r="B651" s="85"/>
      <c r="C651" s="107" t="s">
        <v>638</v>
      </c>
      <c r="D651" s="107"/>
      <c r="E651" s="52" t="s">
        <v>252</v>
      </c>
      <c r="F651" s="110">
        <v>1</v>
      </c>
      <c r="G651" s="111">
        <v>17325</v>
      </c>
      <c r="H651" s="86">
        <f t="shared" si="112"/>
        <v>17325</v>
      </c>
      <c r="I651" s="110">
        <v>300</v>
      </c>
      <c r="J651" s="89">
        <f t="shared" si="113"/>
        <v>300</v>
      </c>
      <c r="K651" s="86">
        <f t="shared" si="114"/>
        <v>17625</v>
      </c>
      <c r="M651" s="65"/>
      <c r="N651" s="108">
        <f t="shared" si="108"/>
        <v>17625</v>
      </c>
    </row>
    <row r="652" spans="2:14" ht="21.75" customHeight="1">
      <c r="B652" s="85"/>
      <c r="C652" s="112" t="s">
        <v>639</v>
      </c>
      <c r="D652" s="113"/>
      <c r="E652" s="52" t="s">
        <v>252</v>
      </c>
      <c r="F652" s="89">
        <v>1</v>
      </c>
      <c r="G652" s="89">
        <v>21175</v>
      </c>
      <c r="H652" s="86">
        <f t="shared" si="112"/>
        <v>21175</v>
      </c>
      <c r="I652" s="89">
        <v>400</v>
      </c>
      <c r="J652" s="89">
        <f t="shared" si="113"/>
        <v>400</v>
      </c>
      <c r="K652" s="86">
        <f t="shared" si="114"/>
        <v>21575</v>
      </c>
      <c r="M652" s="65"/>
      <c r="N652" s="108">
        <f t="shared" si="108"/>
        <v>21575</v>
      </c>
    </row>
    <row r="653" spans="2:14" ht="21.75" customHeight="1">
      <c r="B653" s="85"/>
      <c r="C653" s="107" t="s">
        <v>640</v>
      </c>
      <c r="D653" s="107"/>
      <c r="E653" s="52" t="s">
        <v>252</v>
      </c>
      <c r="F653" s="110">
        <v>4</v>
      </c>
      <c r="G653" s="111">
        <v>1200</v>
      </c>
      <c r="H653" s="86">
        <f t="shared" si="112"/>
        <v>4800</v>
      </c>
      <c r="I653" s="110">
        <v>60</v>
      </c>
      <c r="J653" s="89">
        <f t="shared" si="113"/>
        <v>240</v>
      </c>
      <c r="K653" s="86">
        <f t="shared" si="114"/>
        <v>5040</v>
      </c>
      <c r="M653" s="65"/>
      <c r="N653" s="108">
        <f t="shared" si="108"/>
        <v>5040</v>
      </c>
    </row>
    <row r="654" spans="2:14" ht="21.75" customHeight="1">
      <c r="B654" s="85"/>
      <c r="C654" s="107"/>
      <c r="D654" s="107"/>
      <c r="E654" s="52"/>
      <c r="F654" s="110"/>
      <c r="G654" s="111"/>
      <c r="H654" s="86"/>
      <c r="I654" s="110"/>
      <c r="J654" s="89"/>
      <c r="K654" s="86"/>
      <c r="M654" s="65"/>
      <c r="N654" s="108"/>
    </row>
    <row r="655" spans="2:14" ht="21.75" customHeight="1">
      <c r="B655" s="85">
        <v>3</v>
      </c>
      <c r="C655" s="107" t="s">
        <v>641</v>
      </c>
      <c r="D655" s="107"/>
      <c r="E655" s="52"/>
      <c r="F655" s="110"/>
      <c r="G655" s="111"/>
      <c r="H655" s="86"/>
      <c r="I655" s="110"/>
      <c r="J655" s="89"/>
      <c r="K655" s="86"/>
      <c r="M655" s="65"/>
      <c r="N655" s="108">
        <f t="shared" si="108"/>
        <v>0</v>
      </c>
    </row>
    <row r="656" spans="2:14" ht="21.75" customHeight="1">
      <c r="B656" s="85"/>
      <c r="C656" s="107" t="s">
        <v>642</v>
      </c>
      <c r="D656" s="107"/>
      <c r="E656" s="52"/>
      <c r="F656" s="110"/>
      <c r="G656" s="111"/>
      <c r="H656" s="86"/>
      <c r="I656" s="110"/>
      <c r="J656" s="89"/>
      <c r="K656" s="86"/>
      <c r="M656" s="65"/>
      <c r="N656" s="108">
        <f t="shared" si="108"/>
        <v>0</v>
      </c>
    </row>
    <row r="657" spans="2:14" ht="21.75" customHeight="1">
      <c r="B657" s="85"/>
      <c r="C657" s="107"/>
      <c r="D657" s="107" t="s">
        <v>643</v>
      </c>
      <c r="E657" s="52" t="s">
        <v>251</v>
      </c>
      <c r="F657" s="110">
        <v>898</v>
      </c>
      <c r="G657" s="111">
        <v>167</v>
      </c>
      <c r="H657" s="86">
        <f aca="true" t="shared" si="115" ref="H657:H662">F657*G657</f>
        <v>149966</v>
      </c>
      <c r="I657" s="110">
        <v>50</v>
      </c>
      <c r="J657" s="89">
        <f aca="true" t="shared" si="116" ref="J657:J662">F657*I657</f>
        <v>44900</v>
      </c>
      <c r="K657" s="86">
        <f aca="true" t="shared" si="117" ref="K657:K662">F657*(G657+I657)</f>
        <v>194866</v>
      </c>
      <c r="M657" s="65"/>
      <c r="N657" s="108">
        <f t="shared" si="108"/>
        <v>194866</v>
      </c>
    </row>
    <row r="658" spans="2:14" ht="21.75" customHeight="1">
      <c r="B658" s="85"/>
      <c r="C658" s="107"/>
      <c r="D658" s="107" t="s">
        <v>644</v>
      </c>
      <c r="E658" s="52" t="s">
        <v>251</v>
      </c>
      <c r="F658" s="110">
        <v>279</v>
      </c>
      <c r="G658" s="111">
        <v>269</v>
      </c>
      <c r="H658" s="86">
        <f t="shared" si="115"/>
        <v>75051</v>
      </c>
      <c r="I658" s="110">
        <v>80</v>
      </c>
      <c r="J658" s="89">
        <f t="shared" si="116"/>
        <v>22320</v>
      </c>
      <c r="K658" s="86">
        <f t="shared" si="117"/>
        <v>97371</v>
      </c>
      <c r="M658" s="65"/>
      <c r="N658" s="108">
        <f t="shared" si="108"/>
        <v>97371</v>
      </c>
    </row>
    <row r="659" spans="2:14" ht="21.75" customHeight="1">
      <c r="B659" s="85"/>
      <c r="C659" s="107"/>
      <c r="D659" s="107" t="s">
        <v>645</v>
      </c>
      <c r="E659" s="52" t="s">
        <v>251</v>
      </c>
      <c r="F659" s="110">
        <v>118</v>
      </c>
      <c r="G659" s="111">
        <v>384</v>
      </c>
      <c r="H659" s="86">
        <f t="shared" si="115"/>
        <v>45312</v>
      </c>
      <c r="I659" s="110">
        <v>150</v>
      </c>
      <c r="J659" s="89">
        <f t="shared" si="116"/>
        <v>17700</v>
      </c>
      <c r="K659" s="86">
        <f t="shared" si="117"/>
        <v>63012</v>
      </c>
      <c r="M659" s="65"/>
      <c r="N659" s="108">
        <f t="shared" si="108"/>
        <v>63012</v>
      </c>
    </row>
    <row r="660" spans="2:14" ht="21.75" customHeight="1">
      <c r="B660" s="85"/>
      <c r="C660" s="107"/>
      <c r="D660" s="107" t="s">
        <v>646</v>
      </c>
      <c r="E660" s="52" t="s">
        <v>251</v>
      </c>
      <c r="F660" s="110">
        <v>64</v>
      </c>
      <c r="G660" s="111">
        <v>672</v>
      </c>
      <c r="H660" s="86">
        <f t="shared" si="115"/>
        <v>43008</v>
      </c>
      <c r="I660" s="110">
        <v>200</v>
      </c>
      <c r="J660" s="89">
        <f t="shared" si="116"/>
        <v>12800</v>
      </c>
      <c r="K660" s="86">
        <f t="shared" si="117"/>
        <v>55808</v>
      </c>
      <c r="M660" s="65"/>
      <c r="N660" s="108">
        <f t="shared" si="108"/>
        <v>55808</v>
      </c>
    </row>
    <row r="661" spans="2:14" ht="21.75" customHeight="1">
      <c r="B661" s="85"/>
      <c r="C661" s="107" t="s">
        <v>786</v>
      </c>
      <c r="D661" s="107"/>
      <c r="E661" s="52" t="s">
        <v>325</v>
      </c>
      <c r="F661" s="110">
        <v>1</v>
      </c>
      <c r="G661" s="86">
        <f>SUM(H657:H660)*0.8</f>
        <v>250669.6</v>
      </c>
      <c r="H661" s="86">
        <f t="shared" si="115"/>
        <v>250669.6</v>
      </c>
      <c r="I661" s="110">
        <f>G661*0.3</f>
        <v>75200.88</v>
      </c>
      <c r="J661" s="89">
        <f t="shared" si="116"/>
        <v>75200.88</v>
      </c>
      <c r="K661" s="86">
        <f t="shared" si="117"/>
        <v>325870.48</v>
      </c>
      <c r="M661" s="65"/>
      <c r="N661" s="108">
        <f t="shared" si="108"/>
        <v>325870.48</v>
      </c>
    </row>
    <row r="662" spans="2:14" ht="21.75" customHeight="1">
      <c r="B662" s="85"/>
      <c r="C662" s="107" t="s">
        <v>515</v>
      </c>
      <c r="D662" s="107"/>
      <c r="E662" s="52" t="s">
        <v>251</v>
      </c>
      <c r="F662" s="110">
        <v>145</v>
      </c>
      <c r="G662" s="111">
        <v>1100</v>
      </c>
      <c r="H662" s="86">
        <f t="shared" si="115"/>
        <v>159500</v>
      </c>
      <c r="I662" s="110">
        <v>150</v>
      </c>
      <c r="J662" s="89">
        <f t="shared" si="116"/>
        <v>21750</v>
      </c>
      <c r="K662" s="86">
        <f t="shared" si="117"/>
        <v>181250</v>
      </c>
      <c r="M662" s="65"/>
      <c r="N662" s="108">
        <f t="shared" si="108"/>
        <v>181250</v>
      </c>
    </row>
    <row r="663" spans="2:14" ht="21.75" customHeight="1">
      <c r="B663" s="51">
        <v>4</v>
      </c>
      <c r="C663" s="174" t="s">
        <v>647</v>
      </c>
      <c r="D663" s="107"/>
      <c r="E663" s="52"/>
      <c r="F663" s="110"/>
      <c r="G663" s="111"/>
      <c r="H663" s="86"/>
      <c r="I663" s="110"/>
      <c r="J663" s="89"/>
      <c r="K663" s="86"/>
      <c r="M663" s="65"/>
      <c r="N663" s="108">
        <f t="shared" si="108"/>
        <v>0</v>
      </c>
    </row>
    <row r="664" spans="2:14" ht="21.75" customHeight="1">
      <c r="B664" s="85"/>
      <c r="C664" s="107" t="s">
        <v>513</v>
      </c>
      <c r="D664" s="107"/>
      <c r="E664" s="52" t="s">
        <v>252</v>
      </c>
      <c r="F664" s="110">
        <v>1</v>
      </c>
      <c r="G664" s="111">
        <v>183920</v>
      </c>
      <c r="H664" s="86">
        <f>F664*G664</f>
        <v>183920</v>
      </c>
      <c r="I664" s="110">
        <v>10000</v>
      </c>
      <c r="J664" s="89">
        <f>F664*I664</f>
        <v>10000</v>
      </c>
      <c r="K664" s="86">
        <f>F664*(G664+I664)</f>
        <v>193920</v>
      </c>
      <c r="M664" s="65"/>
      <c r="N664" s="108">
        <f t="shared" si="108"/>
        <v>193920</v>
      </c>
    </row>
    <row r="665" spans="2:14" ht="21.75" customHeight="1">
      <c r="B665" s="85">
        <v>5</v>
      </c>
      <c r="C665" s="174" t="s">
        <v>648</v>
      </c>
      <c r="D665" s="107"/>
      <c r="E665" s="52"/>
      <c r="F665" s="110"/>
      <c r="G665" s="111"/>
      <c r="H665" s="86"/>
      <c r="I665" s="110"/>
      <c r="J665" s="89"/>
      <c r="K665" s="86"/>
      <c r="M665" s="65"/>
      <c r="N665" s="108">
        <f t="shared" si="108"/>
        <v>0</v>
      </c>
    </row>
    <row r="666" spans="2:14" ht="21.75" customHeight="1">
      <c r="B666" s="85"/>
      <c r="C666" s="107" t="s">
        <v>514</v>
      </c>
      <c r="D666" s="107"/>
      <c r="E666" s="52" t="s">
        <v>252</v>
      </c>
      <c r="F666" s="110">
        <v>1</v>
      </c>
      <c r="G666" s="111">
        <v>170400</v>
      </c>
      <c r="H666" s="86">
        <f>F666*G666</f>
        <v>170400</v>
      </c>
      <c r="I666" s="110">
        <v>10000</v>
      </c>
      <c r="J666" s="89">
        <f>F666*I666</f>
        <v>10000</v>
      </c>
      <c r="K666" s="86">
        <f>F666*(G666+I666)</f>
        <v>180400</v>
      </c>
      <c r="M666" s="65"/>
      <c r="N666" s="108">
        <f aca="true" t="shared" si="118" ref="N666:N723">(G666+I666)*F666</f>
        <v>180400</v>
      </c>
    </row>
    <row r="667" spans="2:14" ht="21.75" customHeight="1">
      <c r="B667" s="85">
        <v>6</v>
      </c>
      <c r="C667" s="107" t="s">
        <v>649</v>
      </c>
      <c r="D667" s="107"/>
      <c r="E667" s="52"/>
      <c r="F667" s="110"/>
      <c r="G667" s="111"/>
      <c r="H667" s="86"/>
      <c r="I667" s="110"/>
      <c r="J667" s="89"/>
      <c r="K667" s="86"/>
      <c r="M667" s="65"/>
      <c r="N667" s="108">
        <f t="shared" si="118"/>
        <v>0</v>
      </c>
    </row>
    <row r="668" spans="2:14" ht="21.75" customHeight="1">
      <c r="B668" s="85"/>
      <c r="C668" s="107" t="s">
        <v>810</v>
      </c>
      <c r="D668" s="107"/>
      <c r="E668" s="52"/>
      <c r="F668" s="110"/>
      <c r="G668" s="111"/>
      <c r="H668" s="86"/>
      <c r="I668" s="110"/>
      <c r="J668" s="89"/>
      <c r="K668" s="86"/>
      <c r="M668" s="65"/>
      <c r="N668" s="108">
        <f t="shared" si="118"/>
        <v>0</v>
      </c>
    </row>
    <row r="669" spans="2:14" ht="21.75" customHeight="1">
      <c r="B669" s="85"/>
      <c r="C669" s="107" t="s">
        <v>811</v>
      </c>
      <c r="D669" s="107"/>
      <c r="E669" s="52" t="s">
        <v>252</v>
      </c>
      <c r="F669" s="110">
        <v>1</v>
      </c>
      <c r="G669" s="111">
        <v>89320</v>
      </c>
      <c r="H669" s="86">
        <f>F669*G669</f>
        <v>89320</v>
      </c>
      <c r="I669" s="110">
        <v>4000</v>
      </c>
      <c r="J669" s="89">
        <f>F669*I669</f>
        <v>4000</v>
      </c>
      <c r="K669" s="86">
        <f>F669*(G669+I669)</f>
        <v>93320</v>
      </c>
      <c r="M669" s="65"/>
      <c r="N669" s="108">
        <f t="shared" si="118"/>
        <v>93320</v>
      </c>
    </row>
    <row r="670" spans="2:14" ht="21.75" customHeight="1">
      <c r="B670" s="85"/>
      <c r="C670" s="107" t="s">
        <v>808</v>
      </c>
      <c r="D670" s="107"/>
      <c r="E670" s="52"/>
      <c r="F670" s="110"/>
      <c r="G670" s="111"/>
      <c r="H670" s="86"/>
      <c r="I670" s="110"/>
      <c r="J670" s="89"/>
      <c r="K670" s="86"/>
      <c r="M670" s="65"/>
      <c r="N670" s="108">
        <f t="shared" si="118"/>
        <v>0</v>
      </c>
    </row>
    <row r="671" spans="2:14" ht="21.75" customHeight="1">
      <c r="B671" s="85"/>
      <c r="C671" s="107" t="s">
        <v>809</v>
      </c>
      <c r="D671" s="107"/>
      <c r="E671" s="52"/>
      <c r="F671" s="110"/>
      <c r="G671" s="111"/>
      <c r="H671" s="86"/>
      <c r="I671" s="110"/>
      <c r="J671" s="89"/>
      <c r="K671" s="86"/>
      <c r="M671" s="65"/>
      <c r="N671" s="108">
        <f t="shared" si="118"/>
        <v>0</v>
      </c>
    </row>
    <row r="672" spans="2:14" ht="21.75" customHeight="1">
      <c r="B672" s="85"/>
      <c r="C672" s="107" t="s">
        <v>787</v>
      </c>
      <c r="D672" s="107"/>
      <c r="E672" s="52" t="s">
        <v>252</v>
      </c>
      <c r="F672" s="110">
        <v>1</v>
      </c>
      <c r="G672" s="111">
        <v>53900</v>
      </c>
      <c r="H672" s="86">
        <f>F672*G672</f>
        <v>53900</v>
      </c>
      <c r="I672" s="110">
        <v>2500</v>
      </c>
      <c r="J672" s="89">
        <f>F672*I672</f>
        <v>2500</v>
      </c>
      <c r="K672" s="86">
        <f>F672*(G672+I672)</f>
        <v>56400</v>
      </c>
      <c r="M672" s="65"/>
      <c r="N672" s="108">
        <f>(G672+I672)*F672</f>
        <v>56400</v>
      </c>
    </row>
    <row r="673" spans="2:14" ht="21.75" customHeight="1">
      <c r="B673" s="85"/>
      <c r="C673" s="107" t="s">
        <v>788</v>
      </c>
      <c r="D673" s="107"/>
      <c r="E673" s="52" t="s">
        <v>252</v>
      </c>
      <c r="F673" s="110">
        <v>1</v>
      </c>
      <c r="G673" s="111">
        <v>71610</v>
      </c>
      <c r="H673" s="86">
        <f>F673*G673</f>
        <v>71610</v>
      </c>
      <c r="I673" s="110">
        <v>3000</v>
      </c>
      <c r="J673" s="89">
        <f>F673*I673</f>
        <v>3000</v>
      </c>
      <c r="K673" s="86">
        <f>F673*(G673+I673)</f>
        <v>74610</v>
      </c>
      <c r="M673" s="65"/>
      <c r="N673" s="108">
        <f t="shared" si="118"/>
        <v>74610</v>
      </c>
    </row>
    <row r="674" spans="2:14" ht="21.75" customHeight="1">
      <c r="B674" s="85">
        <v>7</v>
      </c>
      <c r="C674" s="174" t="s">
        <v>451</v>
      </c>
      <c r="D674" s="107"/>
      <c r="E674" s="52"/>
      <c r="F674" s="110"/>
      <c r="G674" s="111"/>
      <c r="H674" s="86"/>
      <c r="I674" s="110"/>
      <c r="J674" s="89"/>
      <c r="K674" s="86"/>
      <c r="M674" s="65"/>
      <c r="N674" s="108">
        <f t="shared" si="118"/>
        <v>0</v>
      </c>
    </row>
    <row r="675" spans="2:14" ht="21.75" customHeight="1">
      <c r="B675" s="85"/>
      <c r="C675" s="107" t="s">
        <v>452</v>
      </c>
      <c r="D675" s="107"/>
      <c r="E675" s="52" t="s">
        <v>252</v>
      </c>
      <c r="F675" s="110">
        <v>1</v>
      </c>
      <c r="G675" s="111">
        <v>729300</v>
      </c>
      <c r="H675" s="86">
        <f>F675*G675</f>
        <v>729300</v>
      </c>
      <c r="I675" s="110">
        <v>20000</v>
      </c>
      <c r="J675" s="89">
        <f>F675*I675</f>
        <v>20000</v>
      </c>
      <c r="K675" s="86">
        <f>F675*(G675+I675)</f>
        <v>749300</v>
      </c>
      <c r="M675" s="65"/>
      <c r="N675" s="108">
        <f t="shared" si="118"/>
        <v>749300</v>
      </c>
    </row>
    <row r="676" spans="2:14" ht="21.75" customHeight="1">
      <c r="B676" s="85">
        <v>8</v>
      </c>
      <c r="C676" s="174" t="s">
        <v>812</v>
      </c>
      <c r="D676" s="107"/>
      <c r="E676" s="52"/>
      <c r="F676" s="110"/>
      <c r="G676" s="111"/>
      <c r="H676" s="86"/>
      <c r="I676" s="110"/>
      <c r="J676" s="89"/>
      <c r="K676" s="86"/>
      <c r="M676" s="65"/>
      <c r="N676" s="108">
        <f t="shared" si="118"/>
        <v>0</v>
      </c>
    </row>
    <row r="677" spans="2:14" ht="21.75" customHeight="1">
      <c r="B677" s="85"/>
      <c r="C677" s="107" t="s">
        <v>813</v>
      </c>
      <c r="D677" s="107"/>
      <c r="E677" s="52" t="s">
        <v>252</v>
      </c>
      <c r="F677" s="110">
        <v>1</v>
      </c>
      <c r="G677" s="111">
        <v>692750</v>
      </c>
      <c r="H677" s="86">
        <f>F677*G677</f>
        <v>692750</v>
      </c>
      <c r="I677" s="110">
        <v>20000</v>
      </c>
      <c r="J677" s="89">
        <f>F677*I677</f>
        <v>20000</v>
      </c>
      <c r="K677" s="86">
        <f>F677*(G677+I677)</f>
        <v>712750</v>
      </c>
      <c r="M677" s="65"/>
      <c r="N677" s="108">
        <f t="shared" si="118"/>
        <v>712750</v>
      </c>
    </row>
    <row r="678" spans="2:14" ht="21.75" customHeight="1">
      <c r="B678" s="85"/>
      <c r="C678" s="107"/>
      <c r="D678" s="107"/>
      <c r="E678" s="52"/>
      <c r="F678" s="110"/>
      <c r="G678" s="111"/>
      <c r="H678" s="86"/>
      <c r="I678" s="110"/>
      <c r="J678" s="89"/>
      <c r="K678" s="86"/>
      <c r="M678" s="65"/>
      <c r="N678" s="108">
        <f t="shared" si="118"/>
        <v>0</v>
      </c>
    </row>
    <row r="679" spans="2:14" ht="21.75" customHeight="1">
      <c r="B679" s="51"/>
      <c r="C679" s="702" t="s">
        <v>234</v>
      </c>
      <c r="D679" s="703"/>
      <c r="E679" s="70"/>
      <c r="F679" s="71"/>
      <c r="G679" s="71"/>
      <c r="H679" s="71">
        <f>SUM(H636:H677)</f>
        <v>3346961.6</v>
      </c>
      <c r="I679" s="71"/>
      <c r="J679" s="71">
        <f>SUM(J636:J677)</f>
        <v>282810.88</v>
      </c>
      <c r="K679" s="71">
        <f>SUM(K636:K677)</f>
        <v>3629772.48</v>
      </c>
      <c r="M679" s="65"/>
      <c r="N679" s="108">
        <f t="shared" si="118"/>
        <v>0</v>
      </c>
    </row>
    <row r="680" spans="2:14" ht="21.75" customHeight="1">
      <c r="B680" s="78"/>
      <c r="C680" s="72"/>
      <c r="D680" s="72"/>
      <c r="E680" s="75"/>
      <c r="F680" s="71"/>
      <c r="G680" s="71"/>
      <c r="H680" s="71"/>
      <c r="I680" s="71"/>
      <c r="J680" s="71"/>
      <c r="K680" s="71"/>
      <c r="M680" s="65"/>
      <c r="N680" s="108">
        <f t="shared" si="118"/>
        <v>0</v>
      </c>
    </row>
    <row r="681" spans="2:14" ht="21.75" customHeight="1">
      <c r="B681" s="78"/>
      <c r="C681" s="183"/>
      <c r="D681" s="183"/>
      <c r="E681" s="75"/>
      <c r="F681" s="71"/>
      <c r="G681" s="71"/>
      <c r="H681" s="71"/>
      <c r="I681" s="71"/>
      <c r="J681" s="71"/>
      <c r="K681" s="71"/>
      <c r="M681" s="65"/>
      <c r="N681" s="108"/>
    </row>
    <row r="682" spans="2:14" ht="21.75" customHeight="1">
      <c r="B682" s="51"/>
      <c r="C682" s="178" t="s">
        <v>789</v>
      </c>
      <c r="D682" s="178"/>
      <c r="E682" s="52"/>
      <c r="F682" s="53"/>
      <c r="G682" s="53"/>
      <c r="H682" s="53"/>
      <c r="I682" s="53"/>
      <c r="J682" s="53"/>
      <c r="K682" s="53"/>
      <c r="N682" s="108">
        <f t="shared" si="118"/>
        <v>0</v>
      </c>
    </row>
    <row r="683" spans="2:14" ht="21.75" customHeight="1">
      <c r="B683" s="51"/>
      <c r="C683" s="177" t="s">
        <v>190</v>
      </c>
      <c r="D683" s="177" t="s">
        <v>190</v>
      </c>
      <c r="E683" s="52"/>
      <c r="F683" s="53"/>
      <c r="G683" s="53"/>
      <c r="H683" s="53"/>
      <c r="I683" s="53"/>
      <c r="J683" s="53"/>
      <c r="K683" s="53"/>
      <c r="N683" s="108">
        <f t="shared" si="118"/>
        <v>0</v>
      </c>
    </row>
    <row r="684" spans="2:14" ht="21.75" customHeight="1">
      <c r="B684" s="51"/>
      <c r="C684" s="704" t="s">
        <v>707</v>
      </c>
      <c r="D684" s="705"/>
      <c r="E684" s="52"/>
      <c r="F684" s="53"/>
      <c r="G684" s="53"/>
      <c r="H684" s="53"/>
      <c r="I684" s="53"/>
      <c r="J684" s="53"/>
      <c r="K684" s="53"/>
      <c r="N684" s="108">
        <f t="shared" si="118"/>
        <v>0</v>
      </c>
    </row>
    <row r="685" spans="2:14" ht="21.75" customHeight="1">
      <c r="B685" s="51"/>
      <c r="C685" s="702" t="s">
        <v>364</v>
      </c>
      <c r="D685" s="703"/>
      <c r="E685" s="52"/>
      <c r="F685" s="53"/>
      <c r="G685" s="53"/>
      <c r="H685" s="53"/>
      <c r="I685" s="53"/>
      <c r="J685" s="53"/>
      <c r="K685" s="53"/>
      <c r="N685" s="108"/>
    </row>
    <row r="686" spans="2:14" ht="21.75" customHeight="1">
      <c r="B686" s="51"/>
      <c r="C686" s="54" t="s">
        <v>348</v>
      </c>
      <c r="D686" s="54"/>
      <c r="E686" s="52"/>
      <c r="F686" s="53"/>
      <c r="G686" s="53"/>
      <c r="H686" s="53"/>
      <c r="I686" s="53"/>
      <c r="J686" s="53"/>
      <c r="K686" s="53"/>
      <c r="N686" s="108">
        <f t="shared" si="118"/>
        <v>0</v>
      </c>
    </row>
    <row r="687" spans="2:14" ht="21.75" customHeight="1">
      <c r="B687" s="51"/>
      <c r="C687" s="54" t="s">
        <v>346</v>
      </c>
      <c r="D687" s="54" t="s">
        <v>381</v>
      </c>
      <c r="E687" s="52" t="s">
        <v>252</v>
      </c>
      <c r="F687" s="53">
        <v>1</v>
      </c>
      <c r="G687" s="53">
        <v>79800</v>
      </c>
      <c r="H687" s="53">
        <f>F687*G687</f>
        <v>79800</v>
      </c>
      <c r="I687" s="53">
        <v>0</v>
      </c>
      <c r="J687" s="53">
        <f>F687*I687</f>
        <v>0</v>
      </c>
      <c r="K687" s="53">
        <f>F687*(G687+I687)</f>
        <v>79800</v>
      </c>
      <c r="N687" s="108">
        <f t="shared" si="118"/>
        <v>79800</v>
      </c>
    </row>
    <row r="688" spans="2:14" ht="21.75" customHeight="1">
      <c r="B688" s="51"/>
      <c r="C688" s="54" t="s">
        <v>347</v>
      </c>
      <c r="D688" s="54" t="s">
        <v>379</v>
      </c>
      <c r="E688" s="52" t="s">
        <v>252</v>
      </c>
      <c r="F688" s="53">
        <v>1</v>
      </c>
      <c r="G688" s="53">
        <v>91580</v>
      </c>
      <c r="H688" s="53">
        <f>F688*G688</f>
        <v>91580</v>
      </c>
      <c r="I688" s="53">
        <v>0</v>
      </c>
      <c r="J688" s="53">
        <f>F688*I688</f>
        <v>0</v>
      </c>
      <c r="K688" s="53">
        <f>F688*(G688+I688)</f>
        <v>91580</v>
      </c>
      <c r="N688" s="108">
        <f t="shared" si="118"/>
        <v>91580</v>
      </c>
    </row>
    <row r="689" spans="2:14" ht="21.75" customHeight="1">
      <c r="B689" s="51"/>
      <c r="C689" s="54" t="s">
        <v>350</v>
      </c>
      <c r="D689" s="54"/>
      <c r="E689" s="52"/>
      <c r="F689" s="53"/>
      <c r="G689" s="53"/>
      <c r="H689" s="53"/>
      <c r="I689" s="53"/>
      <c r="J689" s="53"/>
      <c r="K689" s="53"/>
      <c r="N689" s="108">
        <f t="shared" si="118"/>
        <v>0</v>
      </c>
    </row>
    <row r="690" spans="2:14" ht="21.75" customHeight="1">
      <c r="B690" s="51"/>
      <c r="C690" s="54" t="s">
        <v>349</v>
      </c>
      <c r="D690" s="54" t="s">
        <v>380</v>
      </c>
      <c r="E690" s="52" t="s">
        <v>252</v>
      </c>
      <c r="F690" s="53">
        <v>1</v>
      </c>
      <c r="G690" s="53">
        <v>45000</v>
      </c>
      <c r="H690" s="53">
        <f>F690*G690</f>
        <v>45000</v>
      </c>
      <c r="I690" s="53">
        <v>0</v>
      </c>
      <c r="J690" s="53">
        <f>F690*I690</f>
        <v>0</v>
      </c>
      <c r="K690" s="53">
        <f>F690*(G690+I690)</f>
        <v>45000</v>
      </c>
      <c r="N690" s="108">
        <f t="shared" si="118"/>
        <v>45000</v>
      </c>
    </row>
    <row r="691" spans="2:14" ht="21.75" customHeight="1">
      <c r="B691" s="51"/>
      <c r="C691" s="54" t="s">
        <v>351</v>
      </c>
      <c r="D691" s="54"/>
      <c r="E691" s="52"/>
      <c r="F691" s="53"/>
      <c r="G691" s="53"/>
      <c r="H691" s="53"/>
      <c r="I691" s="53"/>
      <c r="J691" s="53">
        <f>F691*I691</f>
        <v>0</v>
      </c>
      <c r="K691" s="53">
        <f>F691*(G691+I691)</f>
        <v>0</v>
      </c>
      <c r="N691" s="108">
        <f t="shared" si="118"/>
        <v>0</v>
      </c>
    </row>
    <row r="692" spans="2:14" ht="21.75" customHeight="1">
      <c r="B692" s="51"/>
      <c r="C692" s="54" t="s">
        <v>382</v>
      </c>
      <c r="D692" s="54" t="s">
        <v>383</v>
      </c>
      <c r="E692" s="52" t="s">
        <v>252</v>
      </c>
      <c r="F692" s="53">
        <v>1</v>
      </c>
      <c r="G692" s="53">
        <v>108600</v>
      </c>
      <c r="H692" s="53">
        <f>F692*G692</f>
        <v>108600</v>
      </c>
      <c r="I692" s="53">
        <v>0</v>
      </c>
      <c r="J692" s="53">
        <f>F692*I692</f>
        <v>0</v>
      </c>
      <c r="K692" s="53">
        <f>F692*(G692+I692)</f>
        <v>108600</v>
      </c>
      <c r="N692" s="108">
        <f t="shared" si="118"/>
        <v>108600</v>
      </c>
    </row>
    <row r="693" spans="2:14" ht="21.75" customHeight="1">
      <c r="B693" s="51"/>
      <c r="C693" s="54" t="s">
        <v>384</v>
      </c>
      <c r="D693" s="54" t="s">
        <v>385</v>
      </c>
      <c r="E693" s="52" t="s">
        <v>252</v>
      </c>
      <c r="F693" s="53">
        <v>1</v>
      </c>
      <c r="G693" s="53">
        <v>9500</v>
      </c>
      <c r="H693" s="53">
        <f>F693*G693</f>
        <v>9500</v>
      </c>
      <c r="I693" s="53">
        <v>0</v>
      </c>
      <c r="J693" s="53">
        <f>F693*I693</f>
        <v>0</v>
      </c>
      <c r="K693" s="53">
        <f>F693*(G693+I693)</f>
        <v>9500</v>
      </c>
      <c r="N693" s="108">
        <f t="shared" si="118"/>
        <v>9500</v>
      </c>
    </row>
    <row r="694" spans="2:14" ht="21.75" customHeight="1">
      <c r="B694" s="51"/>
      <c r="C694" s="54" t="s">
        <v>352</v>
      </c>
      <c r="D694" s="54"/>
      <c r="E694" s="52"/>
      <c r="F694" s="53"/>
      <c r="G694" s="53"/>
      <c r="H694" s="53"/>
      <c r="I694" s="53"/>
      <c r="J694" s="53"/>
      <c r="K694" s="53"/>
      <c r="N694" s="108">
        <f t="shared" si="118"/>
        <v>0</v>
      </c>
    </row>
    <row r="695" spans="2:14" ht="21.75" customHeight="1">
      <c r="B695" s="51"/>
      <c r="C695" s="54" t="s">
        <v>386</v>
      </c>
      <c r="D695" s="54" t="s">
        <v>387</v>
      </c>
      <c r="E695" s="52" t="s">
        <v>252</v>
      </c>
      <c r="F695" s="53">
        <v>1</v>
      </c>
      <c r="G695" s="53">
        <v>45000</v>
      </c>
      <c r="H695" s="53">
        <f>F695*G695</f>
        <v>45000</v>
      </c>
      <c r="I695" s="53">
        <v>0</v>
      </c>
      <c r="J695" s="53">
        <f>F695*I695</f>
        <v>0</v>
      </c>
      <c r="K695" s="53">
        <f>F695*(G695+I695)</f>
        <v>45000</v>
      </c>
      <c r="N695" s="108">
        <f t="shared" si="118"/>
        <v>45000</v>
      </c>
    </row>
    <row r="696" spans="2:14" ht="21.75" customHeight="1">
      <c r="B696" s="51"/>
      <c r="C696" s="54" t="s">
        <v>353</v>
      </c>
      <c r="D696" s="54"/>
      <c r="E696" s="52"/>
      <c r="F696" s="53"/>
      <c r="G696" s="53"/>
      <c r="H696" s="53"/>
      <c r="I696" s="53"/>
      <c r="J696" s="53"/>
      <c r="K696" s="53"/>
      <c r="N696" s="108">
        <f t="shared" si="118"/>
        <v>0</v>
      </c>
    </row>
    <row r="697" spans="2:14" ht="21.75" customHeight="1">
      <c r="B697" s="51"/>
      <c r="C697" s="54" t="s">
        <v>389</v>
      </c>
      <c r="D697" s="54" t="s">
        <v>388</v>
      </c>
      <c r="E697" s="52" t="s">
        <v>252</v>
      </c>
      <c r="F697" s="53">
        <v>1</v>
      </c>
      <c r="G697" s="53">
        <v>140400</v>
      </c>
      <c r="H697" s="53">
        <f>F697*G697</f>
        <v>140400</v>
      </c>
      <c r="I697" s="53">
        <v>0</v>
      </c>
      <c r="J697" s="53">
        <f>F697*I697</f>
        <v>0</v>
      </c>
      <c r="K697" s="53">
        <f>F697*(G697+I697)</f>
        <v>140400</v>
      </c>
      <c r="N697" s="108">
        <f t="shared" si="118"/>
        <v>140400</v>
      </c>
    </row>
    <row r="698" spans="2:14" ht="21.75" customHeight="1">
      <c r="B698" s="51"/>
      <c r="C698" s="54" t="s">
        <v>354</v>
      </c>
      <c r="D698" s="54"/>
      <c r="E698" s="52"/>
      <c r="F698" s="53"/>
      <c r="G698" s="53"/>
      <c r="H698" s="53"/>
      <c r="I698" s="53"/>
      <c r="J698" s="53"/>
      <c r="K698" s="53"/>
      <c r="N698" s="108">
        <f t="shared" si="118"/>
        <v>0</v>
      </c>
    </row>
    <row r="699" spans="2:14" ht="21.75" customHeight="1">
      <c r="B699" s="51"/>
      <c r="C699" s="54" t="s">
        <v>391</v>
      </c>
      <c r="D699" s="54" t="s">
        <v>390</v>
      </c>
      <c r="E699" s="52" t="s">
        <v>252</v>
      </c>
      <c r="F699" s="53">
        <v>1</v>
      </c>
      <c r="G699" s="53">
        <v>34400</v>
      </c>
      <c r="H699" s="53">
        <f>F699*G699</f>
        <v>34400</v>
      </c>
      <c r="I699" s="53">
        <v>0</v>
      </c>
      <c r="J699" s="53">
        <f>F699*I699</f>
        <v>0</v>
      </c>
      <c r="K699" s="53">
        <f>F699*(G699+I699)</f>
        <v>34400</v>
      </c>
      <c r="N699" s="108">
        <f t="shared" si="118"/>
        <v>34400</v>
      </c>
    </row>
    <row r="700" spans="2:14" ht="21.75" customHeight="1">
      <c r="B700" s="51"/>
      <c r="C700" s="54" t="s">
        <v>355</v>
      </c>
      <c r="D700" s="54"/>
      <c r="E700" s="52"/>
      <c r="F700" s="53"/>
      <c r="G700" s="53"/>
      <c r="H700" s="53"/>
      <c r="I700" s="53"/>
      <c r="J700" s="53"/>
      <c r="K700" s="53"/>
      <c r="N700" s="108">
        <f t="shared" si="118"/>
        <v>0</v>
      </c>
    </row>
    <row r="701" spans="2:14" ht="21.75" customHeight="1">
      <c r="B701" s="51"/>
      <c r="C701" s="54" t="s">
        <v>392</v>
      </c>
      <c r="D701" s="54" t="s">
        <v>393</v>
      </c>
      <c r="E701" s="52" t="s">
        <v>252</v>
      </c>
      <c r="F701" s="53">
        <v>1</v>
      </c>
      <c r="G701" s="53">
        <v>37200</v>
      </c>
      <c r="H701" s="53">
        <f>F701*G701</f>
        <v>37200</v>
      </c>
      <c r="I701" s="53">
        <v>0</v>
      </c>
      <c r="J701" s="53">
        <f>F701*I701</f>
        <v>0</v>
      </c>
      <c r="K701" s="53">
        <f>F701*(G701+I701)</f>
        <v>37200</v>
      </c>
      <c r="N701" s="108">
        <f t="shared" si="118"/>
        <v>37200</v>
      </c>
    </row>
    <row r="702" spans="2:14" ht="21.75" customHeight="1">
      <c r="B702" s="51"/>
      <c r="C702" s="54" t="s">
        <v>356</v>
      </c>
      <c r="D702" s="54"/>
      <c r="E702" s="52"/>
      <c r="F702" s="53"/>
      <c r="G702" s="53"/>
      <c r="H702" s="53"/>
      <c r="I702" s="53"/>
      <c r="J702" s="53"/>
      <c r="K702" s="53"/>
      <c r="N702" s="108">
        <f t="shared" si="118"/>
        <v>0</v>
      </c>
    </row>
    <row r="703" spans="2:14" ht="21.75" customHeight="1">
      <c r="B703" s="51"/>
      <c r="C703" s="54" t="s">
        <v>394</v>
      </c>
      <c r="D703" s="54" t="s">
        <v>395</v>
      </c>
      <c r="E703" s="52" t="s">
        <v>252</v>
      </c>
      <c r="F703" s="53">
        <v>1</v>
      </c>
      <c r="G703" s="53">
        <v>64800</v>
      </c>
      <c r="H703" s="53">
        <f>F703*G703</f>
        <v>64800</v>
      </c>
      <c r="I703" s="53">
        <v>0</v>
      </c>
      <c r="J703" s="53">
        <f>F703*I703</f>
        <v>0</v>
      </c>
      <c r="K703" s="53">
        <f>F703*(G703+I703)</f>
        <v>64800</v>
      </c>
      <c r="N703" s="108">
        <f t="shared" si="118"/>
        <v>64800</v>
      </c>
    </row>
    <row r="704" spans="2:14" ht="21.75" customHeight="1">
      <c r="B704" s="51"/>
      <c r="C704" s="54" t="s">
        <v>357</v>
      </c>
      <c r="D704" s="54"/>
      <c r="E704" s="52"/>
      <c r="F704" s="53"/>
      <c r="G704" s="53"/>
      <c r="H704" s="53"/>
      <c r="I704" s="53"/>
      <c r="J704" s="53"/>
      <c r="K704" s="53"/>
      <c r="N704" s="108">
        <f t="shared" si="118"/>
        <v>0</v>
      </c>
    </row>
    <row r="705" spans="2:14" ht="21.75" customHeight="1">
      <c r="B705" s="51"/>
      <c r="C705" s="54" t="s">
        <v>396</v>
      </c>
      <c r="D705" s="54" t="s">
        <v>397</v>
      </c>
      <c r="E705" s="52" t="s">
        <v>252</v>
      </c>
      <c r="F705" s="53">
        <v>1</v>
      </c>
      <c r="G705" s="53">
        <v>27220</v>
      </c>
      <c r="H705" s="53">
        <f>F705*G705</f>
        <v>27220</v>
      </c>
      <c r="I705" s="53">
        <v>0</v>
      </c>
      <c r="J705" s="53">
        <f>F705*I705</f>
        <v>0</v>
      </c>
      <c r="K705" s="53">
        <f>F705*(G705+I705)</f>
        <v>27220</v>
      </c>
      <c r="N705" s="108">
        <f t="shared" si="118"/>
        <v>27220</v>
      </c>
    </row>
    <row r="706" spans="2:14" ht="21.75" customHeight="1">
      <c r="B706" s="51"/>
      <c r="C706" s="54" t="s">
        <v>358</v>
      </c>
      <c r="D706" s="54"/>
      <c r="E706" s="52"/>
      <c r="F706" s="53"/>
      <c r="G706" s="53"/>
      <c r="H706" s="53"/>
      <c r="I706" s="53"/>
      <c r="J706" s="53"/>
      <c r="K706" s="53"/>
      <c r="N706" s="108">
        <f t="shared" si="118"/>
        <v>0</v>
      </c>
    </row>
    <row r="707" spans="2:14" ht="21.75" customHeight="1">
      <c r="B707" s="51"/>
      <c r="C707" s="54" t="s">
        <v>398</v>
      </c>
      <c r="D707" s="54" t="s">
        <v>399</v>
      </c>
      <c r="E707" s="52" t="s">
        <v>252</v>
      </c>
      <c r="F707" s="53">
        <v>1</v>
      </c>
      <c r="G707" s="53">
        <v>50850</v>
      </c>
      <c r="H707" s="53">
        <f>F707*G707</f>
        <v>50850</v>
      </c>
      <c r="I707" s="53">
        <v>0</v>
      </c>
      <c r="J707" s="53">
        <f>F707*I707</f>
        <v>0</v>
      </c>
      <c r="K707" s="53">
        <f>F707*(G707+I707)</f>
        <v>50850</v>
      </c>
      <c r="N707" s="108">
        <f t="shared" si="118"/>
        <v>50850</v>
      </c>
    </row>
    <row r="708" spans="2:14" ht="21.75" customHeight="1">
      <c r="B708" s="51"/>
      <c r="C708" s="54" t="s">
        <v>359</v>
      </c>
      <c r="D708" s="54"/>
      <c r="E708" s="52"/>
      <c r="F708" s="53"/>
      <c r="G708" s="53"/>
      <c r="H708" s="53"/>
      <c r="I708" s="53"/>
      <c r="J708" s="53"/>
      <c r="K708" s="53"/>
      <c r="N708" s="108">
        <f t="shared" si="118"/>
        <v>0</v>
      </c>
    </row>
    <row r="709" spans="2:14" ht="21.75" customHeight="1">
      <c r="B709" s="51"/>
      <c r="C709" s="54" t="s">
        <v>400</v>
      </c>
      <c r="D709" s="54" t="s">
        <v>401</v>
      </c>
      <c r="E709" s="52" t="s">
        <v>252</v>
      </c>
      <c r="F709" s="53">
        <v>1</v>
      </c>
      <c r="G709" s="53">
        <v>29200</v>
      </c>
      <c r="H709" s="53">
        <f>F709*G709</f>
        <v>29200</v>
      </c>
      <c r="I709" s="53">
        <v>0</v>
      </c>
      <c r="J709" s="53">
        <f>F709*I709</f>
        <v>0</v>
      </c>
      <c r="K709" s="53">
        <f>F709*(G709+I709)</f>
        <v>29200</v>
      </c>
      <c r="N709" s="108">
        <f t="shared" si="118"/>
        <v>29200</v>
      </c>
    </row>
    <row r="710" spans="2:14" ht="21.75" customHeight="1">
      <c r="B710" s="51"/>
      <c r="C710" s="54"/>
      <c r="D710" s="54" t="s">
        <v>402</v>
      </c>
      <c r="E710" s="52" t="s">
        <v>252</v>
      </c>
      <c r="F710" s="53">
        <v>1</v>
      </c>
      <c r="G710" s="53">
        <v>17400</v>
      </c>
      <c r="H710" s="53">
        <f>F710*G710</f>
        <v>17400</v>
      </c>
      <c r="I710" s="53">
        <v>0</v>
      </c>
      <c r="J710" s="53">
        <f>F710*I710</f>
        <v>0</v>
      </c>
      <c r="K710" s="53">
        <f>F710*(G710+I710)</f>
        <v>17400</v>
      </c>
      <c r="N710" s="108">
        <f t="shared" si="118"/>
        <v>17400</v>
      </c>
    </row>
    <row r="711" spans="2:14" ht="21.75" customHeight="1">
      <c r="B711" s="51"/>
      <c r="C711" s="54" t="s">
        <v>360</v>
      </c>
      <c r="D711" s="54"/>
      <c r="E711" s="52"/>
      <c r="F711" s="53"/>
      <c r="G711" s="53"/>
      <c r="H711" s="53"/>
      <c r="I711" s="53"/>
      <c r="J711" s="53"/>
      <c r="K711" s="53"/>
      <c r="N711" s="108">
        <f t="shared" si="118"/>
        <v>0</v>
      </c>
    </row>
    <row r="712" spans="2:14" ht="21.75" customHeight="1">
      <c r="B712" s="51"/>
      <c r="C712" s="54" t="s">
        <v>403</v>
      </c>
      <c r="D712" s="54" t="s">
        <v>404</v>
      </c>
      <c r="E712" s="52" t="s">
        <v>252</v>
      </c>
      <c r="F712" s="53">
        <v>1</v>
      </c>
      <c r="G712" s="53">
        <v>39530</v>
      </c>
      <c r="H712" s="53">
        <f>F712*G712</f>
        <v>39530</v>
      </c>
      <c r="I712" s="53">
        <v>0</v>
      </c>
      <c r="J712" s="53">
        <f>F712*I712</f>
        <v>0</v>
      </c>
      <c r="K712" s="53">
        <f>F712*(G712+I712)</f>
        <v>39530</v>
      </c>
      <c r="N712" s="108">
        <f t="shared" si="118"/>
        <v>39530</v>
      </c>
    </row>
    <row r="713" spans="2:14" ht="21.75" customHeight="1">
      <c r="B713" s="51"/>
      <c r="C713" s="54" t="s">
        <v>361</v>
      </c>
      <c r="D713" s="54"/>
      <c r="E713" s="52"/>
      <c r="F713" s="53"/>
      <c r="G713" s="53"/>
      <c r="H713" s="53"/>
      <c r="I713" s="53"/>
      <c r="J713" s="53"/>
      <c r="K713" s="53"/>
      <c r="N713" s="108">
        <f t="shared" si="118"/>
        <v>0</v>
      </c>
    </row>
    <row r="714" spans="2:14" ht="21.75" customHeight="1">
      <c r="B714" s="51"/>
      <c r="C714" s="54" t="s">
        <v>405</v>
      </c>
      <c r="D714" s="54" t="s">
        <v>406</v>
      </c>
      <c r="E714" s="52" t="s">
        <v>252</v>
      </c>
      <c r="F714" s="53">
        <v>1</v>
      </c>
      <c r="G714" s="53">
        <v>48150</v>
      </c>
      <c r="H714" s="53">
        <f>F714*G714</f>
        <v>48150</v>
      </c>
      <c r="I714" s="53">
        <v>0</v>
      </c>
      <c r="J714" s="53">
        <f>F714*I714</f>
        <v>0</v>
      </c>
      <c r="K714" s="53">
        <f>F714*(G714+I714)</f>
        <v>48150</v>
      </c>
      <c r="N714" s="108">
        <f t="shared" si="118"/>
        <v>48150</v>
      </c>
    </row>
    <row r="715" spans="2:14" ht="21.75" customHeight="1">
      <c r="B715" s="51"/>
      <c r="C715" s="54" t="s">
        <v>407</v>
      </c>
      <c r="D715" s="54" t="s">
        <v>408</v>
      </c>
      <c r="E715" s="52" t="s">
        <v>252</v>
      </c>
      <c r="F715" s="53">
        <v>1</v>
      </c>
      <c r="G715" s="53">
        <v>33200</v>
      </c>
      <c r="H715" s="53">
        <f>F715*G715</f>
        <v>33200</v>
      </c>
      <c r="I715" s="53">
        <v>0</v>
      </c>
      <c r="J715" s="53">
        <f>F715*I715</f>
        <v>0</v>
      </c>
      <c r="K715" s="53">
        <f>F715*(G715+I715)</f>
        <v>33200</v>
      </c>
      <c r="N715" s="108">
        <f t="shared" si="118"/>
        <v>33200</v>
      </c>
    </row>
    <row r="716" spans="2:14" ht="21.75" customHeight="1">
      <c r="B716" s="51"/>
      <c r="C716" s="54" t="s">
        <v>362</v>
      </c>
      <c r="D716" s="54"/>
      <c r="E716" s="52"/>
      <c r="F716" s="53"/>
      <c r="G716" s="53"/>
      <c r="H716" s="53"/>
      <c r="I716" s="53"/>
      <c r="J716" s="53"/>
      <c r="K716" s="53"/>
      <c r="N716" s="108">
        <f t="shared" si="118"/>
        <v>0</v>
      </c>
    </row>
    <row r="717" spans="2:14" ht="21.75" customHeight="1">
      <c r="B717" s="51"/>
      <c r="C717" s="702" t="s">
        <v>363</v>
      </c>
      <c r="D717" s="703"/>
      <c r="E717" s="52"/>
      <c r="F717" s="53"/>
      <c r="G717" s="53"/>
      <c r="H717" s="53"/>
      <c r="I717" s="53"/>
      <c r="J717" s="53"/>
      <c r="K717" s="53"/>
      <c r="N717" s="108">
        <f t="shared" si="118"/>
        <v>0</v>
      </c>
    </row>
    <row r="718" spans="2:14" ht="21.75" customHeight="1">
      <c r="B718" s="51"/>
      <c r="C718" s="54" t="s">
        <v>359</v>
      </c>
      <c r="D718" s="54"/>
      <c r="E718" s="52"/>
      <c r="F718" s="53"/>
      <c r="G718" s="53"/>
      <c r="H718" s="53"/>
      <c r="I718" s="53"/>
      <c r="J718" s="53"/>
      <c r="K718" s="53"/>
      <c r="N718" s="108">
        <f t="shared" si="118"/>
        <v>0</v>
      </c>
    </row>
    <row r="719" spans="2:14" ht="21.75" customHeight="1">
      <c r="B719" s="51"/>
      <c r="C719" s="54" t="s">
        <v>409</v>
      </c>
      <c r="D719" s="54" t="s">
        <v>410</v>
      </c>
      <c r="E719" s="52" t="s">
        <v>252</v>
      </c>
      <c r="F719" s="53">
        <v>1</v>
      </c>
      <c r="G719" s="53">
        <v>34240</v>
      </c>
      <c r="H719" s="53">
        <f>F719*G719</f>
        <v>34240</v>
      </c>
      <c r="I719" s="53">
        <v>0</v>
      </c>
      <c r="J719" s="53">
        <f>F719*I719</f>
        <v>0</v>
      </c>
      <c r="K719" s="53">
        <f>F719*(G719+I719)</f>
        <v>34240</v>
      </c>
      <c r="N719" s="108">
        <f t="shared" si="118"/>
        <v>34240</v>
      </c>
    </row>
    <row r="720" spans="2:14" ht="21.75" customHeight="1">
      <c r="B720" s="51"/>
      <c r="C720" s="54"/>
      <c r="D720" s="54" t="s">
        <v>411</v>
      </c>
      <c r="E720" s="52" t="s">
        <v>252</v>
      </c>
      <c r="F720" s="53">
        <v>1</v>
      </c>
      <c r="G720" s="53">
        <v>14400</v>
      </c>
      <c r="H720" s="53">
        <f>F720*G720</f>
        <v>14400</v>
      </c>
      <c r="I720" s="53">
        <v>0</v>
      </c>
      <c r="J720" s="53">
        <f>F720*I720</f>
        <v>0</v>
      </c>
      <c r="K720" s="53">
        <f>F720*(G720+I720)</f>
        <v>14400</v>
      </c>
      <c r="N720" s="108">
        <f>(G720+I720)*F720</f>
        <v>14400</v>
      </c>
    </row>
    <row r="721" spans="2:14" ht="21.75" customHeight="1">
      <c r="B721" s="51"/>
      <c r="C721" s="54" t="s">
        <v>412</v>
      </c>
      <c r="D721" s="54" t="s">
        <v>413</v>
      </c>
      <c r="E721" s="52" t="s">
        <v>252</v>
      </c>
      <c r="F721" s="53">
        <v>1</v>
      </c>
      <c r="G721" s="53">
        <v>29700</v>
      </c>
      <c r="H721" s="53">
        <f>F721*G721</f>
        <v>29700</v>
      </c>
      <c r="I721" s="53">
        <v>0</v>
      </c>
      <c r="J721" s="53">
        <f>F721*I721</f>
        <v>0</v>
      </c>
      <c r="K721" s="53">
        <f>F721*(G721+I721)</f>
        <v>29700</v>
      </c>
      <c r="N721" s="108">
        <f t="shared" si="118"/>
        <v>29700</v>
      </c>
    </row>
    <row r="722" spans="2:14" ht="21.75" customHeight="1">
      <c r="B722" s="51"/>
      <c r="C722" s="54" t="s">
        <v>365</v>
      </c>
      <c r="D722" s="54"/>
      <c r="E722" s="52"/>
      <c r="F722" s="53"/>
      <c r="G722" s="53"/>
      <c r="H722" s="53"/>
      <c r="I722" s="53"/>
      <c r="J722" s="53"/>
      <c r="K722" s="53"/>
      <c r="N722" s="108">
        <f t="shared" si="118"/>
        <v>0</v>
      </c>
    </row>
    <row r="723" spans="2:14" ht="21.75" customHeight="1">
      <c r="B723" s="51"/>
      <c r="C723" s="54" t="s">
        <v>414</v>
      </c>
      <c r="D723" s="54" t="s">
        <v>415</v>
      </c>
      <c r="E723" s="52" t="s">
        <v>252</v>
      </c>
      <c r="F723" s="53">
        <v>1</v>
      </c>
      <c r="G723" s="53">
        <v>31400</v>
      </c>
      <c r="H723" s="53">
        <f>F723*G723</f>
        <v>31400</v>
      </c>
      <c r="I723" s="53">
        <v>0</v>
      </c>
      <c r="J723" s="53">
        <f>F723*I723</f>
        <v>0</v>
      </c>
      <c r="K723" s="53">
        <f>F723*(G723+I723)</f>
        <v>31400</v>
      </c>
      <c r="N723" s="108">
        <f t="shared" si="118"/>
        <v>31400</v>
      </c>
    </row>
    <row r="724" spans="2:14" ht="21.75" customHeight="1">
      <c r="B724" s="51"/>
      <c r="C724" s="54"/>
      <c r="D724" s="54" t="s">
        <v>416</v>
      </c>
      <c r="E724" s="52" t="s">
        <v>252</v>
      </c>
      <c r="F724" s="53">
        <v>1</v>
      </c>
      <c r="G724" s="53">
        <v>19800</v>
      </c>
      <c r="H724" s="53">
        <f>F724*G724</f>
        <v>19800</v>
      </c>
      <c r="I724" s="53">
        <v>0</v>
      </c>
      <c r="J724" s="53">
        <f>F724*I724</f>
        <v>0</v>
      </c>
      <c r="K724" s="53">
        <f>F724*(G724+I724)</f>
        <v>19800</v>
      </c>
      <c r="N724" s="108">
        <f>(G724+I724)*F724</f>
        <v>19800</v>
      </c>
    </row>
    <row r="725" spans="2:14" ht="21.75" customHeight="1">
      <c r="B725" s="51"/>
      <c r="C725" s="54" t="s">
        <v>366</v>
      </c>
      <c r="D725" s="54"/>
      <c r="E725" s="52"/>
      <c r="F725" s="53"/>
      <c r="G725" s="53"/>
      <c r="H725" s="53"/>
      <c r="I725" s="53"/>
      <c r="J725" s="53"/>
      <c r="K725" s="53"/>
      <c r="N725" s="108">
        <f aca="true" t="shared" si="119" ref="N725:N788">(G725+I725)*F725</f>
        <v>0</v>
      </c>
    </row>
    <row r="726" spans="2:14" ht="21.75" customHeight="1">
      <c r="B726" s="51"/>
      <c r="C726" s="54" t="s">
        <v>417</v>
      </c>
      <c r="D726" s="54" t="s">
        <v>418</v>
      </c>
      <c r="E726" s="52" t="s">
        <v>252</v>
      </c>
      <c r="F726" s="53">
        <v>1</v>
      </c>
      <c r="G726" s="53">
        <v>30600</v>
      </c>
      <c r="H726" s="53">
        <f>F726*G726</f>
        <v>30600</v>
      </c>
      <c r="I726" s="53">
        <v>0</v>
      </c>
      <c r="J726" s="53">
        <f>F726*I726</f>
        <v>0</v>
      </c>
      <c r="K726" s="53">
        <f>F726*(G726+I726)</f>
        <v>30600</v>
      </c>
      <c r="N726" s="108">
        <f t="shared" si="119"/>
        <v>30600</v>
      </c>
    </row>
    <row r="727" spans="2:14" ht="21.75" customHeight="1">
      <c r="B727" s="51"/>
      <c r="C727" s="54"/>
      <c r="D727" s="54" t="s">
        <v>419</v>
      </c>
      <c r="E727" s="52" t="s">
        <v>252</v>
      </c>
      <c r="F727" s="53">
        <v>1</v>
      </c>
      <c r="G727" s="53">
        <v>19200</v>
      </c>
      <c r="H727" s="53">
        <f>F727*G727</f>
        <v>19200</v>
      </c>
      <c r="I727" s="53">
        <v>0</v>
      </c>
      <c r="J727" s="53">
        <f>F727*I727</f>
        <v>0</v>
      </c>
      <c r="K727" s="53">
        <f>F727*(G727+I727)</f>
        <v>19200</v>
      </c>
      <c r="N727" s="108">
        <f>(G727+I727)*F727</f>
        <v>19200</v>
      </c>
    </row>
    <row r="728" spans="2:14" ht="21.75" customHeight="1">
      <c r="B728" s="51"/>
      <c r="C728" s="54" t="s">
        <v>367</v>
      </c>
      <c r="D728" s="54"/>
      <c r="E728" s="52"/>
      <c r="F728" s="53"/>
      <c r="G728" s="53"/>
      <c r="H728" s="53"/>
      <c r="I728" s="53"/>
      <c r="J728" s="53"/>
      <c r="K728" s="53"/>
      <c r="N728" s="108">
        <f t="shared" si="119"/>
        <v>0</v>
      </c>
    </row>
    <row r="729" spans="2:14" ht="21.75" customHeight="1">
      <c r="B729" s="51"/>
      <c r="C729" s="54" t="s">
        <v>420</v>
      </c>
      <c r="D729" s="54" t="s">
        <v>421</v>
      </c>
      <c r="E729" s="52" t="s">
        <v>252</v>
      </c>
      <c r="F729" s="53">
        <v>1</v>
      </c>
      <c r="G729" s="53">
        <v>79200</v>
      </c>
      <c r="H729" s="53">
        <f>F729*G729</f>
        <v>79200</v>
      </c>
      <c r="I729" s="53">
        <v>0</v>
      </c>
      <c r="J729" s="53">
        <f>F729*I729</f>
        <v>0</v>
      </c>
      <c r="K729" s="53">
        <f>F729*(G729+I729)</f>
        <v>79200</v>
      </c>
      <c r="N729" s="108">
        <f t="shared" si="119"/>
        <v>79200</v>
      </c>
    </row>
    <row r="730" spans="2:14" ht="21.75" customHeight="1">
      <c r="B730" s="51"/>
      <c r="C730" s="54" t="s">
        <v>368</v>
      </c>
      <c r="D730" s="54"/>
      <c r="E730" s="52"/>
      <c r="F730" s="53"/>
      <c r="G730" s="53"/>
      <c r="H730" s="53"/>
      <c r="I730" s="53"/>
      <c r="J730" s="53"/>
      <c r="K730" s="53"/>
      <c r="N730" s="108">
        <f t="shared" si="119"/>
        <v>0</v>
      </c>
    </row>
    <row r="731" spans="2:14" ht="21.75" customHeight="1">
      <c r="B731" s="51"/>
      <c r="C731" s="54" t="s">
        <v>422</v>
      </c>
      <c r="D731" s="54" t="s">
        <v>406</v>
      </c>
      <c r="E731" s="52" t="s">
        <v>252</v>
      </c>
      <c r="F731" s="53">
        <v>1</v>
      </c>
      <c r="G731" s="53">
        <v>64200</v>
      </c>
      <c r="H731" s="53">
        <f>F731*G731</f>
        <v>64200</v>
      </c>
      <c r="I731" s="53">
        <v>0</v>
      </c>
      <c r="J731" s="53">
        <f>F731*I731</f>
        <v>0</v>
      </c>
      <c r="K731" s="53">
        <f>F731*(G731+I731)</f>
        <v>64200</v>
      </c>
      <c r="N731" s="108">
        <f t="shared" si="119"/>
        <v>64200</v>
      </c>
    </row>
    <row r="732" spans="2:14" ht="21.75" customHeight="1">
      <c r="B732" s="51"/>
      <c r="C732" s="54" t="s">
        <v>358</v>
      </c>
      <c r="D732" s="54"/>
      <c r="E732" s="52"/>
      <c r="F732" s="53"/>
      <c r="G732" s="53"/>
      <c r="H732" s="53"/>
      <c r="I732" s="53"/>
      <c r="J732" s="53"/>
      <c r="K732" s="53"/>
      <c r="N732" s="108">
        <f t="shared" si="119"/>
        <v>0</v>
      </c>
    </row>
    <row r="733" spans="2:14" ht="21.75" customHeight="1">
      <c r="B733" s="51"/>
      <c r="C733" s="54" t="s">
        <v>423</v>
      </c>
      <c r="D733" s="54" t="s">
        <v>424</v>
      </c>
      <c r="E733" s="52" t="s">
        <v>252</v>
      </c>
      <c r="F733" s="53">
        <v>1</v>
      </c>
      <c r="G733" s="53">
        <v>36000</v>
      </c>
      <c r="H733" s="53">
        <f>F733*G733</f>
        <v>36000</v>
      </c>
      <c r="I733" s="53">
        <v>0</v>
      </c>
      <c r="J733" s="53">
        <f>F733*I733</f>
        <v>0</v>
      </c>
      <c r="K733" s="53">
        <f>F733*(G733+I733)</f>
        <v>36000</v>
      </c>
      <c r="N733" s="108">
        <f t="shared" si="119"/>
        <v>36000</v>
      </c>
    </row>
    <row r="734" spans="2:14" ht="21.75" customHeight="1">
      <c r="B734" s="51"/>
      <c r="C734" s="54" t="s">
        <v>369</v>
      </c>
      <c r="D734" s="54"/>
      <c r="E734" s="52"/>
      <c r="F734" s="53"/>
      <c r="G734" s="53"/>
      <c r="H734" s="53"/>
      <c r="I734" s="53"/>
      <c r="J734" s="53"/>
      <c r="K734" s="53"/>
      <c r="N734" s="108">
        <f t="shared" si="119"/>
        <v>0</v>
      </c>
    </row>
    <row r="735" spans="2:14" ht="21.75" customHeight="1">
      <c r="B735" s="51"/>
      <c r="C735" s="54" t="s">
        <v>425</v>
      </c>
      <c r="D735" s="54" t="s">
        <v>426</v>
      </c>
      <c r="E735" s="52" t="s">
        <v>252</v>
      </c>
      <c r="F735" s="53">
        <v>1</v>
      </c>
      <c r="G735" s="53">
        <v>72400</v>
      </c>
      <c r="H735" s="53">
        <f>F735*G735</f>
        <v>72400</v>
      </c>
      <c r="I735" s="53">
        <v>0</v>
      </c>
      <c r="J735" s="53">
        <f>F735*I735</f>
        <v>0</v>
      </c>
      <c r="K735" s="53">
        <f>F735*(G735+I735)</f>
        <v>72400</v>
      </c>
      <c r="N735" s="108">
        <f t="shared" si="119"/>
        <v>72400</v>
      </c>
    </row>
    <row r="736" spans="2:14" ht="21.75" customHeight="1">
      <c r="B736" s="51"/>
      <c r="C736" s="54" t="s">
        <v>369</v>
      </c>
      <c r="D736" s="54"/>
      <c r="E736" s="52"/>
      <c r="F736" s="53"/>
      <c r="G736" s="53"/>
      <c r="H736" s="53"/>
      <c r="I736" s="53"/>
      <c r="J736" s="53"/>
      <c r="K736" s="53"/>
      <c r="N736" s="108">
        <f t="shared" si="119"/>
        <v>0</v>
      </c>
    </row>
    <row r="737" spans="2:14" ht="21.75" customHeight="1">
      <c r="B737" s="51"/>
      <c r="C737" s="54" t="s">
        <v>427</v>
      </c>
      <c r="D737" s="54" t="s">
        <v>428</v>
      </c>
      <c r="E737" s="52" t="s">
        <v>252</v>
      </c>
      <c r="F737" s="53">
        <v>1</v>
      </c>
      <c r="G737" s="53">
        <v>26400</v>
      </c>
      <c r="H737" s="53">
        <f>F737*G737</f>
        <v>26400</v>
      </c>
      <c r="I737" s="53">
        <v>0</v>
      </c>
      <c r="J737" s="53">
        <f>F737*I737</f>
        <v>0</v>
      </c>
      <c r="K737" s="53">
        <f>F737*(G737+I737)</f>
        <v>26400</v>
      </c>
      <c r="N737" s="108">
        <f t="shared" si="119"/>
        <v>26400</v>
      </c>
    </row>
    <row r="738" spans="2:14" ht="21.75" customHeight="1">
      <c r="B738" s="51"/>
      <c r="C738" s="54" t="s">
        <v>429</v>
      </c>
      <c r="D738" s="54" t="s">
        <v>393</v>
      </c>
      <c r="E738" s="52" t="s">
        <v>252</v>
      </c>
      <c r="F738" s="53">
        <v>1</v>
      </c>
      <c r="G738" s="53">
        <v>43200</v>
      </c>
      <c r="H738" s="53">
        <f>F738*G738</f>
        <v>43200</v>
      </c>
      <c r="I738" s="53">
        <v>0</v>
      </c>
      <c r="J738" s="53">
        <f>F738*I738</f>
        <v>0</v>
      </c>
      <c r="K738" s="53">
        <f>F738*(G738+I738)</f>
        <v>43200</v>
      </c>
      <c r="N738" s="108">
        <f t="shared" si="119"/>
        <v>43200</v>
      </c>
    </row>
    <row r="739" spans="2:14" ht="21.75" customHeight="1">
      <c r="B739" s="51"/>
      <c r="C739" s="54" t="s">
        <v>358</v>
      </c>
      <c r="D739" s="54"/>
      <c r="E739" s="52"/>
      <c r="F739" s="53"/>
      <c r="G739" s="53"/>
      <c r="H739" s="53"/>
      <c r="I739" s="53"/>
      <c r="J739" s="53"/>
      <c r="K739" s="53"/>
      <c r="N739" s="108">
        <f t="shared" si="119"/>
        <v>0</v>
      </c>
    </row>
    <row r="740" spans="2:14" ht="21.75" customHeight="1">
      <c r="B740" s="51"/>
      <c r="C740" s="54" t="s">
        <v>430</v>
      </c>
      <c r="D740" s="54" t="s">
        <v>431</v>
      </c>
      <c r="E740" s="52" t="s">
        <v>252</v>
      </c>
      <c r="F740" s="53">
        <v>1</v>
      </c>
      <c r="G740" s="53">
        <v>54000</v>
      </c>
      <c r="H740" s="53">
        <f>F740*G740</f>
        <v>54000</v>
      </c>
      <c r="I740" s="53">
        <v>0</v>
      </c>
      <c r="J740" s="53">
        <f>F740*I740</f>
        <v>0</v>
      </c>
      <c r="K740" s="53">
        <f>F740*(G740+I740)</f>
        <v>54000</v>
      </c>
      <c r="N740" s="108">
        <f t="shared" si="119"/>
        <v>54000</v>
      </c>
    </row>
    <row r="741" spans="2:14" ht="21.75" customHeight="1">
      <c r="B741" s="51"/>
      <c r="C741" s="54" t="s">
        <v>370</v>
      </c>
      <c r="D741" s="54"/>
      <c r="E741" s="52"/>
      <c r="F741" s="53"/>
      <c r="G741" s="53"/>
      <c r="H741" s="53"/>
      <c r="I741" s="53"/>
      <c r="J741" s="53"/>
      <c r="K741" s="53"/>
      <c r="N741" s="108">
        <f t="shared" si="119"/>
        <v>0</v>
      </c>
    </row>
    <row r="742" spans="2:14" ht="21.75" customHeight="1">
      <c r="B742" s="51"/>
      <c r="C742" s="54" t="s">
        <v>432</v>
      </c>
      <c r="D742" s="54" t="s">
        <v>433</v>
      </c>
      <c r="E742" s="52" t="s">
        <v>252</v>
      </c>
      <c r="F742" s="53">
        <v>1</v>
      </c>
      <c r="G742" s="53">
        <v>88280</v>
      </c>
      <c r="H742" s="53">
        <f>F742*G742</f>
        <v>88280</v>
      </c>
      <c r="I742" s="53">
        <v>0</v>
      </c>
      <c r="J742" s="53">
        <f>F742*I742</f>
        <v>0</v>
      </c>
      <c r="K742" s="53">
        <f>F742*(G742+I742)</f>
        <v>88280</v>
      </c>
      <c r="N742" s="108">
        <f t="shared" si="119"/>
        <v>88280</v>
      </c>
    </row>
    <row r="743" spans="2:14" ht="21.75" customHeight="1">
      <c r="B743" s="51"/>
      <c r="C743" s="54" t="s">
        <v>371</v>
      </c>
      <c r="D743" s="54"/>
      <c r="E743" s="52"/>
      <c r="F743" s="53"/>
      <c r="G743" s="53"/>
      <c r="H743" s="53"/>
      <c r="I743" s="53"/>
      <c r="J743" s="53"/>
      <c r="K743" s="53"/>
      <c r="N743" s="108">
        <f t="shared" si="119"/>
        <v>0</v>
      </c>
    </row>
    <row r="744" spans="2:14" ht="21.75" customHeight="1">
      <c r="B744" s="51"/>
      <c r="C744" s="54" t="s">
        <v>435</v>
      </c>
      <c r="D744" s="54" t="s">
        <v>436</v>
      </c>
      <c r="E744" s="52" t="s">
        <v>252</v>
      </c>
      <c r="F744" s="53">
        <v>1</v>
      </c>
      <c r="G744" s="53">
        <v>34800</v>
      </c>
      <c r="H744" s="53">
        <f>F744*G744</f>
        <v>34800</v>
      </c>
      <c r="I744" s="53">
        <v>0</v>
      </c>
      <c r="J744" s="53">
        <f>F744*I744</f>
        <v>0</v>
      </c>
      <c r="K744" s="53">
        <f>F744*(G744+I744)</f>
        <v>34800</v>
      </c>
      <c r="N744" s="108">
        <f t="shared" si="119"/>
        <v>34800</v>
      </c>
    </row>
    <row r="745" spans="2:14" ht="21.75" customHeight="1">
      <c r="B745" s="51"/>
      <c r="C745" s="54" t="s">
        <v>372</v>
      </c>
      <c r="D745" s="54"/>
      <c r="E745" s="52"/>
      <c r="F745" s="53"/>
      <c r="G745" s="53"/>
      <c r="H745" s="53"/>
      <c r="I745" s="53"/>
      <c r="J745" s="53"/>
      <c r="K745" s="53"/>
      <c r="N745" s="108">
        <f t="shared" si="119"/>
        <v>0</v>
      </c>
    </row>
    <row r="746" spans="2:14" ht="21.75" customHeight="1">
      <c r="B746" s="51"/>
      <c r="C746" s="54" t="s">
        <v>437</v>
      </c>
      <c r="D746" s="54" t="s">
        <v>434</v>
      </c>
      <c r="E746" s="52" t="s">
        <v>252</v>
      </c>
      <c r="F746" s="53">
        <v>1</v>
      </c>
      <c r="G746" s="53">
        <v>35840</v>
      </c>
      <c r="H746" s="53">
        <f>F746*G746</f>
        <v>35840</v>
      </c>
      <c r="I746" s="53">
        <v>0</v>
      </c>
      <c r="J746" s="53">
        <f>F746*I746</f>
        <v>0</v>
      </c>
      <c r="K746" s="53">
        <f>F746*(G746+I746)</f>
        <v>35840</v>
      </c>
      <c r="N746" s="108">
        <f t="shared" si="119"/>
        <v>35840</v>
      </c>
    </row>
    <row r="747" spans="2:14" ht="21.75" customHeight="1">
      <c r="B747" s="51"/>
      <c r="C747" s="54" t="s">
        <v>373</v>
      </c>
      <c r="D747" s="54"/>
      <c r="E747" s="52"/>
      <c r="F747" s="53"/>
      <c r="G747" s="53"/>
      <c r="H747" s="53"/>
      <c r="I747" s="53"/>
      <c r="J747" s="53"/>
      <c r="K747" s="53"/>
      <c r="N747" s="108">
        <f t="shared" si="119"/>
        <v>0</v>
      </c>
    </row>
    <row r="748" spans="2:14" ht="21.75" customHeight="1">
      <c r="B748" s="51"/>
      <c r="C748" s="54" t="s">
        <v>438</v>
      </c>
      <c r="D748" s="54" t="s">
        <v>439</v>
      </c>
      <c r="E748" s="52" t="s">
        <v>252</v>
      </c>
      <c r="F748" s="53">
        <v>1</v>
      </c>
      <c r="G748" s="53">
        <v>42400</v>
      </c>
      <c r="H748" s="53">
        <f>F748*G748</f>
        <v>42400</v>
      </c>
      <c r="I748" s="53">
        <v>0</v>
      </c>
      <c r="J748" s="53">
        <f>F748*I748</f>
        <v>0</v>
      </c>
      <c r="K748" s="53">
        <f>F748*(G748+I748)</f>
        <v>42400</v>
      </c>
      <c r="N748" s="108">
        <f t="shared" si="119"/>
        <v>42400</v>
      </c>
    </row>
    <row r="749" spans="2:14" ht="21.75" customHeight="1">
      <c r="B749" s="51"/>
      <c r="C749" s="54" t="s">
        <v>11</v>
      </c>
      <c r="D749" s="54" t="s">
        <v>440</v>
      </c>
      <c r="E749" s="52" t="s">
        <v>252</v>
      </c>
      <c r="F749" s="53">
        <v>1</v>
      </c>
      <c r="G749" s="53">
        <v>62700</v>
      </c>
      <c r="H749" s="53">
        <f>F749*G749</f>
        <v>62700</v>
      </c>
      <c r="I749" s="53">
        <v>0</v>
      </c>
      <c r="J749" s="53">
        <f>F749*I749</f>
        <v>0</v>
      </c>
      <c r="K749" s="53">
        <f>F749*(G749+I749)</f>
        <v>62700</v>
      </c>
      <c r="N749" s="108">
        <f t="shared" si="119"/>
        <v>62700</v>
      </c>
    </row>
    <row r="750" spans="2:14" ht="21.75" customHeight="1">
      <c r="B750" s="51"/>
      <c r="C750" s="702" t="s">
        <v>374</v>
      </c>
      <c r="D750" s="703"/>
      <c r="E750" s="52"/>
      <c r="F750" s="53"/>
      <c r="G750" s="53"/>
      <c r="H750" s="53"/>
      <c r="I750" s="53"/>
      <c r="J750" s="53"/>
      <c r="K750" s="53"/>
      <c r="N750" s="108">
        <f t="shared" si="119"/>
        <v>0</v>
      </c>
    </row>
    <row r="751" spans="2:14" ht="21.75" customHeight="1">
      <c r="B751" s="51"/>
      <c r="C751" s="54" t="s">
        <v>375</v>
      </c>
      <c r="D751" s="54"/>
      <c r="E751" s="52"/>
      <c r="F751" s="53"/>
      <c r="G751" s="53"/>
      <c r="H751" s="53"/>
      <c r="I751" s="53"/>
      <c r="J751" s="53"/>
      <c r="K751" s="53"/>
      <c r="N751" s="108">
        <f t="shared" si="119"/>
        <v>0</v>
      </c>
    </row>
    <row r="752" spans="2:14" ht="21.75" customHeight="1">
      <c r="B752" s="51"/>
      <c r="C752" s="54" t="s">
        <v>430</v>
      </c>
      <c r="D752" s="54" t="s">
        <v>441</v>
      </c>
      <c r="E752" s="52" t="s">
        <v>252</v>
      </c>
      <c r="F752" s="53">
        <v>1</v>
      </c>
      <c r="G752" s="53">
        <v>96750</v>
      </c>
      <c r="H752" s="53">
        <f>F752*G752</f>
        <v>96750</v>
      </c>
      <c r="I752" s="53">
        <v>0</v>
      </c>
      <c r="J752" s="53">
        <f>F752*I752</f>
        <v>0</v>
      </c>
      <c r="K752" s="53">
        <f>F752*(G752+I752)</f>
        <v>96750</v>
      </c>
      <c r="N752" s="108">
        <f t="shared" si="119"/>
        <v>96750</v>
      </c>
    </row>
    <row r="753" spans="2:14" ht="21.75" customHeight="1">
      <c r="B753" s="51"/>
      <c r="C753" s="54" t="s">
        <v>442</v>
      </c>
      <c r="D753" s="54" t="s">
        <v>443</v>
      </c>
      <c r="E753" s="52" t="s">
        <v>252</v>
      </c>
      <c r="F753" s="53">
        <v>1</v>
      </c>
      <c r="G753" s="53">
        <v>101600</v>
      </c>
      <c r="H753" s="53">
        <f>F753*G753</f>
        <v>101600</v>
      </c>
      <c r="I753" s="53">
        <v>0</v>
      </c>
      <c r="J753" s="53">
        <f>F753*I753</f>
        <v>0</v>
      </c>
      <c r="K753" s="53">
        <f>F753*(G753+I753)</f>
        <v>101600</v>
      </c>
      <c r="N753" s="108">
        <f t="shared" si="119"/>
        <v>101600</v>
      </c>
    </row>
    <row r="754" spans="2:14" ht="21.75" customHeight="1">
      <c r="B754" s="51"/>
      <c r="C754" s="54" t="s">
        <v>444</v>
      </c>
      <c r="D754" s="54" t="s">
        <v>803</v>
      </c>
      <c r="E754" s="52" t="s">
        <v>252</v>
      </c>
      <c r="F754" s="53">
        <v>1</v>
      </c>
      <c r="G754" s="53">
        <v>16800</v>
      </c>
      <c r="H754" s="53">
        <f>F754*G754</f>
        <v>16800</v>
      </c>
      <c r="I754" s="53">
        <v>0</v>
      </c>
      <c r="J754" s="53">
        <f>F754*I754</f>
        <v>0</v>
      </c>
      <c r="K754" s="53">
        <f>F754*(G754+I754)</f>
        <v>16800</v>
      </c>
      <c r="N754" s="108">
        <f t="shared" si="119"/>
        <v>16800</v>
      </c>
    </row>
    <row r="755" spans="2:14" ht="21.75" customHeight="1">
      <c r="B755" s="51"/>
      <c r="C755" s="54" t="s">
        <v>376</v>
      </c>
      <c r="D755" s="54"/>
      <c r="E755" s="52"/>
      <c r="F755" s="53"/>
      <c r="G755" s="53"/>
      <c r="H755" s="53"/>
      <c r="I755" s="53"/>
      <c r="J755" s="53"/>
      <c r="K755" s="53"/>
      <c r="N755" s="108">
        <f t="shared" si="119"/>
        <v>0</v>
      </c>
    </row>
    <row r="756" spans="2:14" ht="21.75" customHeight="1">
      <c r="B756" s="51"/>
      <c r="C756" s="54" t="s">
        <v>445</v>
      </c>
      <c r="D756" s="54" t="s">
        <v>447</v>
      </c>
      <c r="E756" s="52" t="s">
        <v>252</v>
      </c>
      <c r="F756" s="53">
        <v>1</v>
      </c>
      <c r="G756" s="53">
        <v>98100</v>
      </c>
      <c r="H756" s="53">
        <f>F756*G756</f>
        <v>98100</v>
      </c>
      <c r="I756" s="53">
        <v>0</v>
      </c>
      <c r="J756" s="53">
        <f>F756*I756</f>
        <v>0</v>
      </c>
      <c r="K756" s="53">
        <f>F756*(G756+I756)</f>
        <v>98100</v>
      </c>
      <c r="N756" s="108">
        <f t="shared" si="119"/>
        <v>98100</v>
      </c>
    </row>
    <row r="757" spans="2:14" ht="21.75" customHeight="1">
      <c r="B757" s="51"/>
      <c r="C757" s="54" t="s">
        <v>442</v>
      </c>
      <c r="D757" s="54" t="s">
        <v>443</v>
      </c>
      <c r="E757" s="52" t="s">
        <v>252</v>
      </c>
      <c r="F757" s="53">
        <v>1</v>
      </c>
      <c r="G757" s="53">
        <v>101600</v>
      </c>
      <c r="H757" s="53">
        <f>F757*G757</f>
        <v>101600</v>
      </c>
      <c r="I757" s="53">
        <v>0</v>
      </c>
      <c r="J757" s="53">
        <f>F757*I757</f>
        <v>0</v>
      </c>
      <c r="K757" s="53">
        <f>F757*(G757+I757)</f>
        <v>101600</v>
      </c>
      <c r="N757" s="108">
        <f t="shared" si="119"/>
        <v>101600</v>
      </c>
    </row>
    <row r="758" spans="2:14" ht="21.75" customHeight="1">
      <c r="B758" s="51"/>
      <c r="C758" s="54" t="s">
        <v>446</v>
      </c>
      <c r="D758" s="54" t="s">
        <v>803</v>
      </c>
      <c r="E758" s="52" t="s">
        <v>252</v>
      </c>
      <c r="F758" s="53">
        <v>1</v>
      </c>
      <c r="G758" s="53">
        <v>16800</v>
      </c>
      <c r="H758" s="53">
        <f>F758*G758</f>
        <v>16800</v>
      </c>
      <c r="I758" s="53">
        <v>0</v>
      </c>
      <c r="J758" s="53">
        <f>F758*I758</f>
        <v>0</v>
      </c>
      <c r="K758" s="53">
        <f>F758*(G758+I758)</f>
        <v>16800</v>
      </c>
      <c r="N758" s="108">
        <f t="shared" si="119"/>
        <v>16800</v>
      </c>
    </row>
    <row r="759" spans="2:14" ht="21.75" customHeight="1">
      <c r="B759" s="51"/>
      <c r="C759" s="54" t="s">
        <v>377</v>
      </c>
      <c r="D759" s="54"/>
      <c r="E759" s="52"/>
      <c r="F759" s="53"/>
      <c r="G759" s="53"/>
      <c r="H759" s="53"/>
      <c r="I759" s="53"/>
      <c r="J759" s="53"/>
      <c r="K759" s="53"/>
      <c r="N759" s="108">
        <f t="shared" si="119"/>
        <v>0</v>
      </c>
    </row>
    <row r="760" spans="2:14" ht="21.75" customHeight="1">
      <c r="B760" s="51"/>
      <c r="C760" s="702" t="s">
        <v>378</v>
      </c>
      <c r="D760" s="703"/>
      <c r="E760" s="52"/>
      <c r="F760" s="53"/>
      <c r="G760" s="53"/>
      <c r="H760" s="53"/>
      <c r="I760" s="53"/>
      <c r="J760" s="53"/>
      <c r="K760" s="53"/>
      <c r="N760" s="108">
        <f t="shared" si="119"/>
        <v>0</v>
      </c>
    </row>
    <row r="761" spans="2:14" ht="21.75" customHeight="1">
      <c r="B761" s="51"/>
      <c r="C761" s="54" t="s">
        <v>375</v>
      </c>
      <c r="D761" s="54"/>
      <c r="E761" s="52"/>
      <c r="F761" s="53"/>
      <c r="G761" s="53"/>
      <c r="H761" s="53"/>
      <c r="I761" s="53"/>
      <c r="J761" s="53"/>
      <c r="K761" s="53"/>
      <c r="N761" s="108">
        <f t="shared" si="119"/>
        <v>0</v>
      </c>
    </row>
    <row r="762" spans="2:14" ht="21.75" customHeight="1">
      <c r="B762" s="51"/>
      <c r="C762" s="54" t="s">
        <v>430</v>
      </c>
      <c r="D762" s="54" t="s">
        <v>441</v>
      </c>
      <c r="E762" s="52" t="s">
        <v>252</v>
      </c>
      <c r="F762" s="53">
        <v>1</v>
      </c>
      <c r="G762" s="53">
        <v>96750</v>
      </c>
      <c r="H762" s="53">
        <f>F762*G762</f>
        <v>96750</v>
      </c>
      <c r="I762" s="53">
        <v>0</v>
      </c>
      <c r="J762" s="53">
        <f>F762*I762</f>
        <v>0</v>
      </c>
      <c r="K762" s="53">
        <f>F762*(G762+I762)</f>
        <v>96750</v>
      </c>
      <c r="N762" s="108">
        <f t="shared" si="119"/>
        <v>96750</v>
      </c>
    </row>
    <row r="763" spans="2:14" ht="21.75" customHeight="1">
      <c r="B763" s="51"/>
      <c r="C763" s="54" t="s">
        <v>442</v>
      </c>
      <c r="D763" s="54" t="s">
        <v>443</v>
      </c>
      <c r="E763" s="52" t="s">
        <v>252</v>
      </c>
      <c r="F763" s="53">
        <v>1</v>
      </c>
      <c r="G763" s="53">
        <v>101600</v>
      </c>
      <c r="H763" s="53">
        <f>F763*G763</f>
        <v>101600</v>
      </c>
      <c r="I763" s="53">
        <v>0</v>
      </c>
      <c r="J763" s="53">
        <f>F763*I763</f>
        <v>0</v>
      </c>
      <c r="K763" s="53">
        <f>F763*(G763+I763)</f>
        <v>101600</v>
      </c>
      <c r="N763" s="108">
        <f t="shared" si="119"/>
        <v>101600</v>
      </c>
    </row>
    <row r="764" spans="2:14" ht="21.75" customHeight="1">
      <c r="B764" s="51"/>
      <c r="C764" s="54" t="s">
        <v>12</v>
      </c>
      <c r="D764" s="54" t="s">
        <v>802</v>
      </c>
      <c r="E764" s="52" t="s">
        <v>252</v>
      </c>
      <c r="F764" s="53">
        <v>1</v>
      </c>
      <c r="G764" s="53">
        <v>24850</v>
      </c>
      <c r="H764" s="53">
        <f>F764*G764</f>
        <v>24850</v>
      </c>
      <c r="I764" s="53">
        <v>0</v>
      </c>
      <c r="J764" s="53">
        <f>F764*I764</f>
        <v>0</v>
      </c>
      <c r="K764" s="53">
        <f>F764*(G764+I764)</f>
        <v>24850</v>
      </c>
      <c r="N764" s="108">
        <f t="shared" si="119"/>
        <v>24850</v>
      </c>
    </row>
    <row r="765" spans="2:14" ht="21.75" customHeight="1">
      <c r="B765" s="51"/>
      <c r="C765" s="54" t="s">
        <v>376</v>
      </c>
      <c r="D765" s="54"/>
      <c r="E765" s="52"/>
      <c r="F765" s="53"/>
      <c r="G765" s="53"/>
      <c r="H765" s="53"/>
      <c r="I765" s="53"/>
      <c r="J765" s="53"/>
      <c r="K765" s="53"/>
      <c r="N765" s="108">
        <f t="shared" si="119"/>
        <v>0</v>
      </c>
    </row>
    <row r="766" spans="2:14" ht="21.75" customHeight="1">
      <c r="B766" s="51"/>
      <c r="C766" s="54" t="s">
        <v>448</v>
      </c>
      <c r="D766" s="54" t="s">
        <v>801</v>
      </c>
      <c r="E766" s="52" t="s">
        <v>252</v>
      </c>
      <c r="F766" s="53">
        <v>1</v>
      </c>
      <c r="G766" s="53">
        <v>48600</v>
      </c>
      <c r="H766" s="53">
        <f>F766*G766</f>
        <v>48600</v>
      </c>
      <c r="I766" s="53">
        <v>0</v>
      </c>
      <c r="J766" s="53">
        <f>F766*I766</f>
        <v>0</v>
      </c>
      <c r="K766" s="53">
        <f>F766*(G766+I766)</f>
        <v>48600</v>
      </c>
      <c r="N766" s="108">
        <f t="shared" si="119"/>
        <v>48600</v>
      </c>
    </row>
    <row r="767" spans="2:14" ht="21.75" customHeight="1">
      <c r="B767" s="51"/>
      <c r="C767" s="54" t="s">
        <v>449</v>
      </c>
      <c r="D767" s="54" t="s">
        <v>450</v>
      </c>
      <c r="E767" s="52" t="s">
        <v>252</v>
      </c>
      <c r="F767" s="53">
        <v>1</v>
      </c>
      <c r="G767" s="53">
        <v>51840</v>
      </c>
      <c r="H767" s="53">
        <f>F767*G767</f>
        <v>51840</v>
      </c>
      <c r="I767" s="53">
        <v>0</v>
      </c>
      <c r="J767" s="53">
        <f>F767*I767</f>
        <v>0</v>
      </c>
      <c r="K767" s="53">
        <f>F767*(G767+I767)</f>
        <v>51840</v>
      </c>
      <c r="N767" s="108">
        <f t="shared" si="119"/>
        <v>51840</v>
      </c>
    </row>
    <row r="768" spans="2:14" ht="21.75" customHeight="1">
      <c r="B768" s="51"/>
      <c r="C768" s="54"/>
      <c r="D768" s="54"/>
      <c r="E768" s="52"/>
      <c r="F768" s="53"/>
      <c r="G768" s="53"/>
      <c r="H768" s="53"/>
      <c r="I768" s="53"/>
      <c r="J768" s="53"/>
      <c r="K768" s="53"/>
      <c r="N768" s="108">
        <f t="shared" si="119"/>
        <v>0</v>
      </c>
    </row>
    <row r="769" spans="2:14" ht="21.75" customHeight="1">
      <c r="B769" s="51"/>
      <c r="C769" s="702" t="s">
        <v>234</v>
      </c>
      <c r="D769" s="703"/>
      <c r="E769" s="70"/>
      <c r="F769" s="71"/>
      <c r="G769" s="71"/>
      <c r="H769" s="71">
        <f>SUM(H687:H768)</f>
        <v>2475880</v>
      </c>
      <c r="I769" s="71"/>
      <c r="J769" s="71">
        <f>SUM(J687:J768)</f>
        <v>0</v>
      </c>
      <c r="K769" s="71">
        <f>SUM(K687:K768)</f>
        <v>2475880</v>
      </c>
      <c r="M769" s="65">
        <f>SUM(H769,J769)</f>
        <v>2475880</v>
      </c>
      <c r="N769" s="108">
        <f t="shared" si="119"/>
        <v>0</v>
      </c>
    </row>
    <row r="770" spans="2:14" ht="21.75" customHeight="1">
      <c r="B770" s="78"/>
      <c r="C770" s="72"/>
      <c r="D770" s="72"/>
      <c r="E770" s="75"/>
      <c r="F770" s="71"/>
      <c r="G770" s="71"/>
      <c r="H770" s="71"/>
      <c r="I770" s="71"/>
      <c r="J770" s="71"/>
      <c r="K770" s="71"/>
      <c r="M770" s="65"/>
      <c r="N770" s="108">
        <f t="shared" si="119"/>
        <v>0</v>
      </c>
    </row>
    <row r="771" spans="2:14" ht="21.75" customHeight="1">
      <c r="B771" s="78"/>
      <c r="C771" s="72"/>
      <c r="D771" s="72"/>
      <c r="E771" s="75"/>
      <c r="F771" s="71"/>
      <c r="G771" s="71"/>
      <c r="H771" s="71"/>
      <c r="I771" s="71"/>
      <c r="J771" s="71"/>
      <c r="K771" s="71"/>
      <c r="M771" s="65"/>
      <c r="N771" s="108"/>
    </row>
    <row r="772" spans="2:14" ht="21.75" customHeight="1">
      <c r="B772" s="78"/>
      <c r="C772" s="72"/>
      <c r="D772" s="72"/>
      <c r="E772" s="75"/>
      <c r="F772" s="71"/>
      <c r="G772" s="71"/>
      <c r="H772" s="71"/>
      <c r="I772" s="71"/>
      <c r="J772" s="71"/>
      <c r="K772" s="71"/>
      <c r="M772" s="65"/>
      <c r="N772" s="108"/>
    </row>
    <row r="773" spans="2:14" ht="21.75" customHeight="1">
      <c r="B773" s="78"/>
      <c r="C773" s="72"/>
      <c r="D773" s="72"/>
      <c r="E773" s="75"/>
      <c r="F773" s="71"/>
      <c r="G773" s="71"/>
      <c r="H773" s="71"/>
      <c r="I773" s="71"/>
      <c r="J773" s="71"/>
      <c r="K773" s="71"/>
      <c r="M773" s="65"/>
      <c r="N773" s="108"/>
    </row>
    <row r="774" spans="2:14" ht="21.75" customHeight="1">
      <c r="B774" s="78"/>
      <c r="C774" s="72"/>
      <c r="D774" s="72"/>
      <c r="E774" s="75"/>
      <c r="F774" s="71"/>
      <c r="G774" s="71"/>
      <c r="H774" s="71"/>
      <c r="I774" s="71"/>
      <c r="J774" s="71"/>
      <c r="K774" s="71"/>
      <c r="M774" s="65"/>
      <c r="N774" s="108"/>
    </row>
    <row r="775" spans="2:14" ht="21.75" customHeight="1">
      <c r="B775" s="78"/>
      <c r="C775" s="72"/>
      <c r="D775" s="72"/>
      <c r="E775" s="75"/>
      <c r="F775" s="71"/>
      <c r="G775" s="71"/>
      <c r="H775" s="71"/>
      <c r="I775" s="71"/>
      <c r="J775" s="71"/>
      <c r="K775" s="71"/>
      <c r="M775" s="65"/>
      <c r="N775" s="108"/>
    </row>
    <row r="776" spans="2:14" ht="21.75" customHeight="1">
      <c r="B776" s="78"/>
      <c r="C776" s="72"/>
      <c r="D776" s="72"/>
      <c r="E776" s="75"/>
      <c r="F776" s="71"/>
      <c r="G776" s="71"/>
      <c r="H776" s="71"/>
      <c r="I776" s="71"/>
      <c r="J776" s="71"/>
      <c r="K776" s="71"/>
      <c r="M776" s="65"/>
      <c r="N776" s="108"/>
    </row>
    <row r="777" spans="2:14" ht="21.75" customHeight="1">
      <c r="B777" s="78"/>
      <c r="C777" s="72"/>
      <c r="D777" s="72"/>
      <c r="E777" s="75"/>
      <c r="F777" s="71"/>
      <c r="G777" s="71"/>
      <c r="H777" s="71"/>
      <c r="I777" s="71"/>
      <c r="J777" s="71"/>
      <c r="K777" s="71"/>
      <c r="M777" s="65"/>
      <c r="N777" s="108"/>
    </row>
    <row r="778" spans="2:14" ht="21.75" customHeight="1">
      <c r="B778" s="78"/>
      <c r="C778" s="72"/>
      <c r="D778" s="72"/>
      <c r="E778" s="75"/>
      <c r="F778" s="71"/>
      <c r="G778" s="71"/>
      <c r="H778" s="71"/>
      <c r="I778" s="71"/>
      <c r="J778" s="71"/>
      <c r="K778" s="71"/>
      <c r="M778" s="65"/>
      <c r="N778" s="108"/>
    </row>
    <row r="779" spans="2:14" ht="21.75" customHeight="1">
      <c r="B779" s="78"/>
      <c r="C779" s="72"/>
      <c r="D779" s="72"/>
      <c r="E779" s="75"/>
      <c r="F779" s="71"/>
      <c r="G779" s="71"/>
      <c r="H779" s="71"/>
      <c r="I779" s="71"/>
      <c r="J779" s="71"/>
      <c r="K779" s="71"/>
      <c r="M779" s="65"/>
      <c r="N779" s="108"/>
    </row>
    <row r="780" spans="2:14" ht="21.75" customHeight="1">
      <c r="B780" s="78"/>
      <c r="C780" s="72"/>
      <c r="D780" s="72"/>
      <c r="E780" s="75"/>
      <c r="F780" s="71"/>
      <c r="G780" s="71"/>
      <c r="H780" s="71"/>
      <c r="I780" s="71"/>
      <c r="J780" s="71"/>
      <c r="K780" s="71"/>
      <c r="M780" s="65"/>
      <c r="N780" s="108"/>
    </row>
    <row r="781" spans="2:14" ht="21.75" customHeight="1">
      <c r="B781" s="78"/>
      <c r="C781" s="72"/>
      <c r="D781" s="72"/>
      <c r="E781" s="75"/>
      <c r="F781" s="71"/>
      <c r="G781" s="71"/>
      <c r="H781" s="71"/>
      <c r="I781" s="71"/>
      <c r="J781" s="71"/>
      <c r="K781" s="71"/>
      <c r="M781" s="65"/>
      <c r="N781" s="108"/>
    </row>
    <row r="782" spans="2:14" ht="21.75" customHeight="1">
      <c r="B782" s="78"/>
      <c r="C782" s="72"/>
      <c r="D782" s="72"/>
      <c r="E782" s="75"/>
      <c r="F782" s="71"/>
      <c r="G782" s="71"/>
      <c r="H782" s="71"/>
      <c r="I782" s="71"/>
      <c r="J782" s="71"/>
      <c r="K782" s="71"/>
      <c r="M782" s="65"/>
      <c r="N782" s="108"/>
    </row>
    <row r="783" spans="2:14" ht="21.75" customHeight="1">
      <c r="B783" s="78"/>
      <c r="C783" s="72"/>
      <c r="D783" s="72"/>
      <c r="E783" s="75"/>
      <c r="F783" s="71"/>
      <c r="G783" s="71"/>
      <c r="H783" s="71"/>
      <c r="I783" s="71"/>
      <c r="J783" s="71"/>
      <c r="K783" s="71"/>
      <c r="M783" s="65"/>
      <c r="N783" s="108">
        <f t="shared" si="119"/>
        <v>0</v>
      </c>
    </row>
    <row r="784" spans="2:14" ht="21.75" customHeight="1">
      <c r="B784" s="78"/>
      <c r="C784" s="720" t="s">
        <v>680</v>
      </c>
      <c r="D784" s="721"/>
      <c r="E784" s="75"/>
      <c r="F784" s="71"/>
      <c r="G784" s="71"/>
      <c r="H784" s="71"/>
      <c r="I784" s="71"/>
      <c r="J784" s="71"/>
      <c r="K784" s="71"/>
      <c r="M784" s="65"/>
      <c r="N784" s="108">
        <f t="shared" si="119"/>
        <v>0</v>
      </c>
    </row>
    <row r="785" spans="2:14" ht="21.75" customHeight="1">
      <c r="B785" s="78"/>
      <c r="C785" s="699" t="s">
        <v>681</v>
      </c>
      <c r="D785" s="700"/>
      <c r="E785" s="75"/>
      <c r="F785" s="71"/>
      <c r="G785" s="71"/>
      <c r="H785" s="71"/>
      <c r="I785" s="71"/>
      <c r="J785" s="71"/>
      <c r="K785" s="71"/>
      <c r="M785" s="65"/>
      <c r="N785" s="108">
        <f t="shared" si="119"/>
        <v>0</v>
      </c>
    </row>
    <row r="786" spans="2:14" ht="21.75" customHeight="1">
      <c r="B786" s="78"/>
      <c r="C786" s="92" t="s">
        <v>790</v>
      </c>
      <c r="D786" s="72"/>
      <c r="E786" s="75"/>
      <c r="F786" s="71"/>
      <c r="G786" s="71"/>
      <c r="H786" s="71"/>
      <c r="I786" s="71"/>
      <c r="J786" s="71"/>
      <c r="K786" s="71"/>
      <c r="M786" s="65"/>
      <c r="N786" s="108">
        <f t="shared" si="119"/>
        <v>0</v>
      </c>
    </row>
    <row r="787" spans="2:14" ht="21.75" customHeight="1">
      <c r="B787" s="76">
        <v>1</v>
      </c>
      <c r="C787" s="54" t="s">
        <v>800</v>
      </c>
      <c r="D787" s="54"/>
      <c r="E787" s="52" t="s">
        <v>252</v>
      </c>
      <c r="F787" s="53">
        <v>93</v>
      </c>
      <c r="G787" s="53">
        <v>6480</v>
      </c>
      <c r="H787" s="53">
        <f>F787*G787</f>
        <v>602640</v>
      </c>
      <c r="I787" s="53">
        <v>0</v>
      </c>
      <c r="J787" s="53">
        <f>F787*I787</f>
        <v>0</v>
      </c>
      <c r="K787" s="53">
        <f>F787*(G787+I787)</f>
        <v>602640</v>
      </c>
      <c r="N787" s="108">
        <f>(G787+I787)*F787</f>
        <v>602640</v>
      </c>
    </row>
    <row r="788" spans="2:14" ht="21.75" customHeight="1">
      <c r="B788" s="76"/>
      <c r="C788" s="66"/>
      <c r="D788" s="91"/>
      <c r="E788" s="88"/>
      <c r="F788" s="81"/>
      <c r="G788" s="77"/>
      <c r="H788" s="80"/>
      <c r="I788" s="77"/>
      <c r="J788" s="63"/>
      <c r="K788" s="63"/>
      <c r="N788" s="108">
        <f t="shared" si="119"/>
        <v>0</v>
      </c>
    </row>
    <row r="789" spans="2:14" ht="21.75" customHeight="1">
      <c r="B789" s="78"/>
      <c r="C789" s="702" t="s">
        <v>234</v>
      </c>
      <c r="D789" s="703"/>
      <c r="E789" s="75"/>
      <c r="F789" s="71"/>
      <c r="G789" s="71"/>
      <c r="H789" s="71">
        <f>SUM(H787:H787)</f>
        <v>602640</v>
      </c>
      <c r="I789" s="71"/>
      <c r="J789" s="71">
        <f>SUM(J787:J787)</f>
        <v>0</v>
      </c>
      <c r="K789" s="71">
        <f>SUM(K787:K787)</f>
        <v>602640</v>
      </c>
      <c r="M789" s="65">
        <f>SUM(H789,J789)</f>
        <v>602640</v>
      </c>
      <c r="N789" s="108">
        <f aca="true" t="shared" si="120" ref="N789:N801">(G789+I789)*F789</f>
        <v>0</v>
      </c>
    </row>
    <row r="790" spans="2:14" ht="21.75" customHeight="1">
      <c r="B790" s="51"/>
      <c r="C790" s="54"/>
      <c r="D790" s="54"/>
      <c r="E790" s="52"/>
      <c r="F790" s="53"/>
      <c r="G790" s="53"/>
      <c r="H790" s="53"/>
      <c r="I790" s="53"/>
      <c r="J790" s="53"/>
      <c r="K790" s="53"/>
      <c r="N790" s="108">
        <f t="shared" si="120"/>
        <v>0</v>
      </c>
    </row>
    <row r="791" spans="2:14" ht="21.75" customHeight="1">
      <c r="B791" s="51"/>
      <c r="C791" s="173"/>
      <c r="D791" s="169"/>
      <c r="E791" s="93"/>
      <c r="F791" s="89"/>
      <c r="G791" s="86"/>
      <c r="H791" s="89"/>
      <c r="I791" s="86"/>
      <c r="J791" s="86"/>
      <c r="K791" s="94"/>
      <c r="N791" s="108">
        <f t="shared" si="120"/>
        <v>0</v>
      </c>
    </row>
    <row r="792" spans="2:14" ht="21.75" customHeight="1">
      <c r="B792" s="78"/>
      <c r="C792" s="92" t="s">
        <v>792</v>
      </c>
      <c r="D792" s="72"/>
      <c r="E792" s="75"/>
      <c r="F792" s="71"/>
      <c r="G792" s="71"/>
      <c r="H792" s="71"/>
      <c r="I792" s="71"/>
      <c r="J792" s="71"/>
      <c r="K792" s="71"/>
      <c r="M792" s="65"/>
      <c r="N792" s="108">
        <f t="shared" si="120"/>
        <v>0</v>
      </c>
    </row>
    <row r="793" spans="2:14" ht="21.75" customHeight="1">
      <c r="B793" s="76">
        <v>1</v>
      </c>
      <c r="C793" s="107" t="s">
        <v>793</v>
      </c>
      <c r="D793" s="107"/>
      <c r="E793" s="52" t="s">
        <v>252</v>
      </c>
      <c r="F793" s="110">
        <v>40</v>
      </c>
      <c r="G793" s="111">
        <v>2500</v>
      </c>
      <c r="H793" s="86">
        <f aca="true" t="shared" si="121" ref="H793:H799">F793*G793</f>
        <v>100000</v>
      </c>
      <c r="I793" s="110">
        <v>0</v>
      </c>
      <c r="J793" s="89">
        <f aca="true" t="shared" si="122" ref="J793:J799">F793*I793</f>
        <v>0</v>
      </c>
      <c r="K793" s="86">
        <f aca="true" t="shared" si="123" ref="K793:K799">F793*(G793+I793)</f>
        <v>100000</v>
      </c>
      <c r="M793" s="65"/>
      <c r="N793" s="108">
        <f t="shared" si="120"/>
        <v>100000</v>
      </c>
    </row>
    <row r="794" spans="2:14" ht="21.75" customHeight="1">
      <c r="B794" s="76">
        <v>2</v>
      </c>
      <c r="C794" s="107" t="s">
        <v>794</v>
      </c>
      <c r="D794" s="107"/>
      <c r="E794" s="52" t="s">
        <v>252</v>
      </c>
      <c r="F794" s="110">
        <v>40</v>
      </c>
      <c r="G794" s="111">
        <v>2500</v>
      </c>
      <c r="H794" s="86">
        <f t="shared" si="121"/>
        <v>100000</v>
      </c>
      <c r="I794" s="110">
        <v>0</v>
      </c>
      <c r="J794" s="89">
        <f t="shared" si="122"/>
        <v>0</v>
      </c>
      <c r="K794" s="86">
        <f t="shared" si="123"/>
        <v>100000</v>
      </c>
      <c r="M794" s="65"/>
      <c r="N794" s="108">
        <f t="shared" si="120"/>
        <v>100000</v>
      </c>
    </row>
    <row r="795" spans="2:14" ht="21.75" customHeight="1">
      <c r="B795" s="76">
        <v>3</v>
      </c>
      <c r="C795" s="107" t="s">
        <v>795</v>
      </c>
      <c r="D795" s="107"/>
      <c r="E795" s="52" t="s">
        <v>252</v>
      </c>
      <c r="F795" s="110">
        <v>26</v>
      </c>
      <c r="G795" s="111">
        <v>2300</v>
      </c>
      <c r="H795" s="86">
        <f t="shared" si="121"/>
        <v>59800</v>
      </c>
      <c r="I795" s="110">
        <v>0</v>
      </c>
      <c r="J795" s="89">
        <f t="shared" si="122"/>
        <v>0</v>
      </c>
      <c r="K795" s="86">
        <f t="shared" si="123"/>
        <v>59800</v>
      </c>
      <c r="M795" s="65"/>
      <c r="N795" s="108">
        <f t="shared" si="120"/>
        <v>59800</v>
      </c>
    </row>
    <row r="796" spans="2:14" ht="21.75" customHeight="1">
      <c r="B796" s="76">
        <v>4</v>
      </c>
      <c r="C796" s="107" t="s">
        <v>796</v>
      </c>
      <c r="D796" s="107"/>
      <c r="E796" s="52" t="s">
        <v>252</v>
      </c>
      <c r="F796" s="110">
        <v>14</v>
      </c>
      <c r="G796" s="111">
        <v>3900</v>
      </c>
      <c r="H796" s="86">
        <f t="shared" si="121"/>
        <v>54600</v>
      </c>
      <c r="I796" s="110">
        <v>0</v>
      </c>
      <c r="J796" s="89">
        <f t="shared" si="122"/>
        <v>0</v>
      </c>
      <c r="K796" s="86">
        <f t="shared" si="123"/>
        <v>54600</v>
      </c>
      <c r="M796" s="65"/>
      <c r="N796" s="108">
        <f t="shared" si="120"/>
        <v>54600</v>
      </c>
    </row>
    <row r="797" spans="2:14" ht="21.75" customHeight="1">
      <c r="B797" s="76">
        <v>5</v>
      </c>
      <c r="C797" s="107" t="s">
        <v>797</v>
      </c>
      <c r="D797" s="107"/>
      <c r="E797" s="52" t="s">
        <v>252</v>
      </c>
      <c r="F797" s="110">
        <v>14</v>
      </c>
      <c r="G797" s="111">
        <v>14500</v>
      </c>
      <c r="H797" s="86">
        <f t="shared" si="121"/>
        <v>203000</v>
      </c>
      <c r="I797" s="110">
        <v>0</v>
      </c>
      <c r="J797" s="89">
        <f t="shared" si="122"/>
        <v>0</v>
      </c>
      <c r="K797" s="86">
        <f t="shared" si="123"/>
        <v>203000</v>
      </c>
      <c r="M797" s="65"/>
      <c r="N797" s="108">
        <f t="shared" si="120"/>
        <v>203000</v>
      </c>
    </row>
    <row r="798" spans="2:14" ht="21.75" customHeight="1">
      <c r="B798" s="76">
        <v>6</v>
      </c>
      <c r="C798" s="107" t="s">
        <v>798</v>
      </c>
      <c r="D798" s="107"/>
      <c r="E798" s="52" t="s">
        <v>252</v>
      </c>
      <c r="F798" s="110">
        <v>6</v>
      </c>
      <c r="G798" s="111">
        <v>26000</v>
      </c>
      <c r="H798" s="86">
        <f t="shared" si="121"/>
        <v>156000</v>
      </c>
      <c r="I798" s="110">
        <v>0</v>
      </c>
      <c r="J798" s="89">
        <f t="shared" si="122"/>
        <v>0</v>
      </c>
      <c r="K798" s="86">
        <f t="shared" si="123"/>
        <v>156000</v>
      </c>
      <c r="M798" s="65"/>
      <c r="N798" s="108">
        <f t="shared" si="120"/>
        <v>156000</v>
      </c>
    </row>
    <row r="799" spans="2:14" ht="21.75" customHeight="1">
      <c r="B799" s="76">
        <v>7</v>
      </c>
      <c r="C799" s="107" t="s">
        <v>799</v>
      </c>
      <c r="D799" s="107"/>
      <c r="E799" s="52" t="s">
        <v>252</v>
      </c>
      <c r="F799" s="110">
        <v>1</v>
      </c>
      <c r="G799" s="111">
        <v>28000</v>
      </c>
      <c r="H799" s="86">
        <f t="shared" si="121"/>
        <v>28000</v>
      </c>
      <c r="I799" s="110">
        <v>0</v>
      </c>
      <c r="J799" s="89">
        <f t="shared" si="122"/>
        <v>0</v>
      </c>
      <c r="K799" s="86">
        <f t="shared" si="123"/>
        <v>28000</v>
      </c>
      <c r="M799" s="65"/>
      <c r="N799" s="108">
        <f t="shared" si="120"/>
        <v>28000</v>
      </c>
    </row>
    <row r="800" spans="2:14" ht="21.75" customHeight="1">
      <c r="B800" s="76"/>
      <c r="C800" s="66"/>
      <c r="D800" s="91"/>
      <c r="E800" s="88"/>
      <c r="F800" s="81"/>
      <c r="G800" s="77"/>
      <c r="H800" s="80"/>
      <c r="I800" s="77"/>
      <c r="J800" s="63"/>
      <c r="K800" s="63"/>
      <c r="N800" s="108">
        <f t="shared" si="120"/>
        <v>0</v>
      </c>
    </row>
    <row r="801" spans="2:14" ht="21.75" customHeight="1">
      <c r="B801" s="78"/>
      <c r="C801" s="702" t="s">
        <v>234</v>
      </c>
      <c r="D801" s="703"/>
      <c r="E801" s="75"/>
      <c r="F801" s="71"/>
      <c r="G801" s="71"/>
      <c r="H801" s="71">
        <f>SUM(H793:H800)</f>
        <v>701400</v>
      </c>
      <c r="I801" s="71"/>
      <c r="J801" s="71">
        <f>SUM(J793:J800)</f>
        <v>0</v>
      </c>
      <c r="K801" s="71">
        <f>SUM(K793:K800)</f>
        <v>701400</v>
      </c>
      <c r="M801" s="65">
        <f>SUM(H801,J801)</f>
        <v>701400</v>
      </c>
      <c r="N801" s="108">
        <f t="shared" si="120"/>
        <v>0</v>
      </c>
    </row>
    <row r="802" spans="2:14" ht="21.75" customHeight="1">
      <c r="B802" s="51"/>
      <c r="C802" s="124"/>
      <c r="D802" s="125"/>
      <c r="E802" s="70"/>
      <c r="F802" s="71"/>
      <c r="G802" s="71"/>
      <c r="H802" s="71"/>
      <c r="I802" s="71"/>
      <c r="J802" s="71"/>
      <c r="K802" s="71"/>
      <c r="N802" s="108">
        <f>(G802+I802)*F802</f>
        <v>0</v>
      </c>
    </row>
    <row r="803" spans="2:14" ht="21.75" customHeight="1">
      <c r="B803" s="51"/>
      <c r="C803" s="124"/>
      <c r="D803" s="125"/>
      <c r="E803" s="70"/>
      <c r="F803" s="71"/>
      <c r="G803" s="71"/>
      <c r="H803" s="71"/>
      <c r="I803" s="71"/>
      <c r="J803" s="71"/>
      <c r="K803" s="71"/>
      <c r="N803" s="108">
        <f>(G803+I803)*F803</f>
        <v>0</v>
      </c>
    </row>
    <row r="804" spans="2:14" ht="21.75" customHeight="1">
      <c r="B804" s="67"/>
      <c r="C804" s="83"/>
      <c r="D804" s="83"/>
      <c r="E804" s="122"/>
      <c r="F804" s="123"/>
      <c r="G804" s="123"/>
      <c r="H804" s="123"/>
      <c r="I804" s="123"/>
      <c r="J804" s="123"/>
      <c r="K804" s="123"/>
      <c r="M804" s="65"/>
      <c r="N804" s="108">
        <f>(G804+I804)*F804</f>
        <v>0</v>
      </c>
    </row>
    <row r="805" spans="2:11" ht="21.75" customHeight="1">
      <c r="B805" s="132"/>
      <c r="C805" s="133" t="s">
        <v>152</v>
      </c>
      <c r="D805" s="134" t="s">
        <v>153</v>
      </c>
      <c r="E805" s="135"/>
      <c r="F805" s="136"/>
      <c r="G805" s="128"/>
      <c r="H805" s="128"/>
      <c r="I805" s="128"/>
      <c r="J805" s="128"/>
      <c r="K805" s="137"/>
    </row>
    <row r="806" spans="2:11" ht="18.75">
      <c r="B806" s="138"/>
      <c r="C806" s="139"/>
      <c r="D806" s="140" t="s">
        <v>154</v>
      </c>
      <c r="E806" s="141"/>
      <c r="F806" s="142"/>
      <c r="G806" s="129"/>
      <c r="H806" s="129"/>
      <c r="I806" s="129"/>
      <c r="J806" s="129"/>
      <c r="K806" s="143"/>
    </row>
    <row r="807" spans="2:11" ht="18.75">
      <c r="B807" s="138"/>
      <c r="C807" s="139"/>
      <c r="D807" s="144" t="s">
        <v>155</v>
      </c>
      <c r="E807" s="145"/>
      <c r="F807" s="146"/>
      <c r="G807" s="130"/>
      <c r="H807" s="130"/>
      <c r="I807" s="130"/>
      <c r="J807" s="130"/>
      <c r="K807" s="147"/>
    </row>
    <row r="808" spans="2:11" ht="18.75">
      <c r="B808" s="148"/>
      <c r="C808" s="149"/>
      <c r="D808" s="150" t="s">
        <v>156</v>
      </c>
      <c r="E808" s="151"/>
      <c r="F808" s="152"/>
      <c r="G808" s="131"/>
      <c r="H808" s="131"/>
      <c r="I808" s="131"/>
      <c r="J808" s="131"/>
      <c r="K808" s="153"/>
    </row>
  </sheetData>
  <sheetProtection/>
  <mergeCells count="68">
    <mergeCell ref="C620:D620"/>
    <mergeCell ref="C623:D623"/>
    <mergeCell ref="C489:D489"/>
    <mergeCell ref="C296:D296"/>
    <mergeCell ref="C321:D321"/>
    <mergeCell ref="C333:D333"/>
    <mergeCell ref="C558:D558"/>
    <mergeCell ref="C504:D504"/>
    <mergeCell ref="C520:D520"/>
    <mergeCell ref="C801:D801"/>
    <mergeCell ref="C685:D685"/>
    <mergeCell ref="C367:D367"/>
    <mergeCell ref="C376:D376"/>
    <mergeCell ref="C394:D394"/>
    <mergeCell ref="C569:D569"/>
    <mergeCell ref="C789:D789"/>
    <mergeCell ref="C629:D629"/>
    <mergeCell ref="C684:D684"/>
    <mergeCell ref="C633:D633"/>
    <mergeCell ref="C236:D236"/>
    <mergeCell ref="I51:J51"/>
    <mergeCell ref="C265:D265"/>
    <mergeCell ref="C277:D277"/>
    <mergeCell ref="C292:D292"/>
    <mergeCell ref="C199:D199"/>
    <mergeCell ref="C108:D108"/>
    <mergeCell ref="C268:D268"/>
    <mergeCell ref="C274:D274"/>
    <mergeCell ref="C679:D679"/>
    <mergeCell ref="C750:D750"/>
    <mergeCell ref="C760:D760"/>
    <mergeCell ref="C769:D769"/>
    <mergeCell ref="C784:D784"/>
    <mergeCell ref="C180:D180"/>
    <mergeCell ref="C182:D182"/>
    <mergeCell ref="C196:D196"/>
    <mergeCell ref="C398:D398"/>
    <mergeCell ref="C486:D486"/>
    <mergeCell ref="C295:D295"/>
    <mergeCell ref="C239:D239"/>
    <mergeCell ref="C540:D540"/>
    <mergeCell ref="C543:D543"/>
    <mergeCell ref="C717:D717"/>
    <mergeCell ref="C565:D565"/>
    <mergeCell ref="C346:D346"/>
    <mergeCell ref="C355:D355"/>
    <mergeCell ref="C555:D555"/>
    <mergeCell ref="C501:D501"/>
    <mergeCell ref="B2:K2"/>
    <mergeCell ref="C111:D111"/>
    <mergeCell ref="C155:D155"/>
    <mergeCell ref="G10:H10"/>
    <mergeCell ref="C45:D45"/>
    <mergeCell ref="C51:D51"/>
    <mergeCell ref="I3:K3"/>
    <mergeCell ref="I4:K4"/>
    <mergeCell ref="C10:D10"/>
    <mergeCell ref="C12:D12"/>
    <mergeCell ref="C785:D785"/>
    <mergeCell ref="I10:J10"/>
    <mergeCell ref="C152:D152"/>
    <mergeCell ref="C14:D14"/>
    <mergeCell ref="C69:D69"/>
    <mergeCell ref="C72:D72"/>
    <mergeCell ref="C96:D96"/>
    <mergeCell ref="C95:D95"/>
    <mergeCell ref="G51:H51"/>
    <mergeCell ref="C526:D526"/>
  </mergeCells>
  <printOptions horizontalCentered="1"/>
  <pageMargins left="0.11811023622047245" right="0.03937007874015748" top="0.6299212598425197" bottom="0.35433070866141736" header="0.3937007874015748" footer="0.15748031496062992"/>
  <pageSetup firstPageNumber="3" useFirstPageNumber="1" horizontalDpi="600" verticalDpi="600" orientation="portrait" paperSize="9" scale="83" r:id="rId1"/>
  <headerFooter>
    <oddHeader>&amp;R&amp;14แบบ ปร.4 แผ่นที่ &amp;P/21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39"/>
  <sheetViews>
    <sheetView zoomScalePageLayoutView="0" workbookViewId="0" topLeftCell="A19">
      <selection activeCell="B29" sqref="B29"/>
    </sheetView>
  </sheetViews>
  <sheetFormatPr defaultColWidth="9.33203125" defaultRowHeight="17.25"/>
  <cols>
    <col min="1" max="1" width="47.83203125" style="493" customWidth="1"/>
    <col min="2" max="2" width="18.33203125" style="612" customWidth="1"/>
    <col min="3" max="4" width="18.33203125" style="493" customWidth="1"/>
    <col min="5" max="5" width="19.5" style="493" customWidth="1"/>
    <col min="6" max="7" width="18.33203125" style="493" customWidth="1"/>
    <col min="8" max="8" width="13" style="493" customWidth="1"/>
    <col min="9" max="9" width="12.66015625" style="493" customWidth="1"/>
    <col min="10" max="16384" width="9.33203125" style="493" customWidth="1"/>
  </cols>
  <sheetData>
    <row r="1" ht="21">
      <c r="D1" s="613" t="s">
        <v>215</v>
      </c>
    </row>
    <row r="2" spans="1:8" ht="21">
      <c r="A2" s="614" t="s">
        <v>980</v>
      </c>
      <c r="B2" s="615">
        <v>2191.59</v>
      </c>
      <c r="C2" s="616" t="s">
        <v>655</v>
      </c>
      <c r="D2" s="617"/>
      <c r="F2" s="613" t="s">
        <v>981</v>
      </c>
      <c r="G2" s="613" t="s">
        <v>982</v>
      </c>
      <c r="H2" s="613" t="s">
        <v>983</v>
      </c>
    </row>
    <row r="3" spans="1:8" ht="21">
      <c r="A3" s="614" t="s">
        <v>984</v>
      </c>
      <c r="B3" s="615">
        <v>2233.64</v>
      </c>
      <c r="C3" s="616" t="s">
        <v>655</v>
      </c>
      <c r="D3" s="618"/>
      <c r="E3" s="619"/>
      <c r="F3" s="613">
        <v>2672.9</v>
      </c>
      <c r="G3" s="620">
        <f>(F3/1000)*H3</f>
        <v>133.645</v>
      </c>
      <c r="H3" s="613">
        <v>50</v>
      </c>
    </row>
    <row r="4" spans="1:8" ht="22.5" customHeight="1">
      <c r="A4" s="614" t="s">
        <v>985</v>
      </c>
      <c r="B4" s="621">
        <v>2261.68</v>
      </c>
      <c r="C4" s="616" t="s">
        <v>655</v>
      </c>
      <c r="D4" s="617"/>
      <c r="E4" s="622" t="s">
        <v>986</v>
      </c>
      <c r="F4" s="623">
        <f>32*F3/1000</f>
        <v>85.53280000000001</v>
      </c>
      <c r="G4" s="622" t="s">
        <v>987</v>
      </c>
      <c r="H4" s="624" t="s">
        <v>988</v>
      </c>
    </row>
    <row r="5" spans="1:4" ht="22.5" customHeight="1">
      <c r="A5" s="614" t="s">
        <v>989</v>
      </c>
      <c r="B5" s="621">
        <v>2327.1</v>
      </c>
      <c r="C5" s="616" t="s">
        <v>655</v>
      </c>
      <c r="D5" s="617"/>
    </row>
    <row r="6" spans="1:9" ht="22.5" customHeight="1">
      <c r="A6" s="614" t="s">
        <v>990</v>
      </c>
      <c r="B6" s="621">
        <v>2350</v>
      </c>
      <c r="C6" s="616" t="s">
        <v>655</v>
      </c>
      <c r="D6" s="617"/>
      <c r="E6" s="622" t="s">
        <v>991</v>
      </c>
      <c r="F6" s="623">
        <f>60*F3/1000</f>
        <v>160.374</v>
      </c>
      <c r="G6" s="622" t="s">
        <v>992</v>
      </c>
      <c r="H6" s="624" t="s">
        <v>988</v>
      </c>
      <c r="I6" s="625">
        <f>B4+F6</f>
        <v>2422.0539999999996</v>
      </c>
    </row>
    <row r="7" spans="1:9" ht="22.5" customHeight="1">
      <c r="A7" s="614" t="s">
        <v>993</v>
      </c>
      <c r="B7" s="626">
        <v>2370</v>
      </c>
      <c r="C7" s="616" t="s">
        <v>655</v>
      </c>
      <c r="D7" s="617"/>
      <c r="E7" s="622" t="s">
        <v>994</v>
      </c>
      <c r="F7" s="623">
        <f>83*F3/1000</f>
        <v>221.85070000000002</v>
      </c>
      <c r="G7" s="622" t="s">
        <v>995</v>
      </c>
      <c r="H7" s="624" t="s">
        <v>988</v>
      </c>
      <c r="I7" s="625">
        <f>F7+B4</f>
        <v>2483.5307</v>
      </c>
    </row>
    <row r="8" spans="1:4" ht="22.5" customHeight="1">
      <c r="A8" s="614" t="s">
        <v>996</v>
      </c>
      <c r="B8" s="621">
        <v>1950</v>
      </c>
      <c r="C8" s="616" t="s">
        <v>655</v>
      </c>
      <c r="D8" s="613" t="s">
        <v>997</v>
      </c>
    </row>
    <row r="9" spans="1:4" ht="22.5" customHeight="1">
      <c r="A9" s="614" t="s">
        <v>998</v>
      </c>
      <c r="B9" s="621">
        <v>18.525</v>
      </c>
      <c r="C9" s="616" t="s">
        <v>5</v>
      </c>
      <c r="D9" s="618">
        <f>B9*1000</f>
        <v>18525</v>
      </c>
    </row>
    <row r="10" spans="1:4" ht="22.5" customHeight="1">
      <c r="A10" s="614" t="s">
        <v>999</v>
      </c>
      <c r="B10" s="621">
        <v>17.886</v>
      </c>
      <c r="C10" s="616" t="s">
        <v>5</v>
      </c>
      <c r="D10" s="618">
        <f aca="true" t="shared" si="0" ref="D10:D25">B10*1000</f>
        <v>17886</v>
      </c>
    </row>
    <row r="11" spans="1:4" ht="22.5" customHeight="1">
      <c r="A11" s="614" t="s">
        <v>1000</v>
      </c>
      <c r="B11" s="621">
        <v>17.574</v>
      </c>
      <c r="C11" s="616" t="s">
        <v>5</v>
      </c>
      <c r="D11" s="618">
        <f t="shared" si="0"/>
        <v>17574</v>
      </c>
    </row>
    <row r="12" spans="1:4" ht="22.5" customHeight="1">
      <c r="A12" s="614" t="s">
        <v>1001</v>
      </c>
      <c r="B12" s="621">
        <v>17.495</v>
      </c>
      <c r="C12" s="616" t="s">
        <v>5</v>
      </c>
      <c r="D12" s="618">
        <f t="shared" si="0"/>
        <v>17495</v>
      </c>
    </row>
    <row r="13" spans="1:4" ht="22.5" customHeight="1">
      <c r="A13" s="614" t="s">
        <v>1002</v>
      </c>
      <c r="B13" s="621">
        <v>17.189</v>
      </c>
      <c r="C13" s="616" t="s">
        <v>5</v>
      </c>
      <c r="D13" s="618">
        <f t="shared" si="0"/>
        <v>17189</v>
      </c>
    </row>
    <row r="14" spans="1:4" ht="22.5" customHeight="1">
      <c r="A14" s="614" t="s">
        <v>1003</v>
      </c>
      <c r="B14" s="621">
        <v>17.31</v>
      </c>
      <c r="C14" s="616" t="s">
        <v>5</v>
      </c>
      <c r="D14" s="618">
        <f t="shared" si="0"/>
        <v>17310</v>
      </c>
    </row>
    <row r="15" spans="1:4" ht="22.5" customHeight="1">
      <c r="A15" s="614" t="s">
        <v>1004</v>
      </c>
      <c r="B15" s="621">
        <v>17.153</v>
      </c>
      <c r="C15" s="616" t="s">
        <v>5</v>
      </c>
      <c r="D15" s="618">
        <f t="shared" si="0"/>
        <v>17153</v>
      </c>
    </row>
    <row r="16" spans="1:4" ht="22.5" customHeight="1">
      <c r="A16" s="614" t="s">
        <v>1005</v>
      </c>
      <c r="B16" s="621">
        <v>17.188</v>
      </c>
      <c r="C16" s="616" t="s">
        <v>5</v>
      </c>
      <c r="D16" s="618">
        <f t="shared" si="0"/>
        <v>17188</v>
      </c>
    </row>
    <row r="17" spans="1:4" ht="22.5" customHeight="1">
      <c r="A17" s="614" t="s">
        <v>1006</v>
      </c>
      <c r="B17" s="621">
        <v>17.191</v>
      </c>
      <c r="C17" s="616" t="s">
        <v>5</v>
      </c>
      <c r="D17" s="618">
        <f t="shared" si="0"/>
        <v>17191</v>
      </c>
    </row>
    <row r="18" spans="1:4" ht="22.5" customHeight="1">
      <c r="A18" s="614" t="s">
        <v>1007</v>
      </c>
      <c r="B18" s="621">
        <f>B17</f>
        <v>17.191</v>
      </c>
      <c r="C18" s="616" t="s">
        <v>5</v>
      </c>
      <c r="D18" s="618">
        <f t="shared" si="0"/>
        <v>17191</v>
      </c>
    </row>
    <row r="19" spans="1:4" ht="22.5" customHeight="1">
      <c r="A19" s="614" t="s">
        <v>1008</v>
      </c>
      <c r="B19" s="621">
        <f>B14</f>
        <v>17.31</v>
      </c>
      <c r="C19" s="616" t="s">
        <v>5</v>
      </c>
      <c r="D19" s="618">
        <f t="shared" si="0"/>
        <v>17310</v>
      </c>
    </row>
    <row r="20" spans="1:4" ht="22.5" customHeight="1">
      <c r="A20" s="614" t="s">
        <v>1009</v>
      </c>
      <c r="B20" s="621">
        <f>B15</f>
        <v>17.153</v>
      </c>
      <c r="C20" s="616" t="s">
        <v>5</v>
      </c>
      <c r="D20" s="618">
        <f t="shared" si="0"/>
        <v>17153</v>
      </c>
    </row>
    <row r="21" spans="1:4" ht="22.5" customHeight="1">
      <c r="A21" s="614" t="s">
        <v>1010</v>
      </c>
      <c r="B21" s="621">
        <f>B16</f>
        <v>17.188</v>
      </c>
      <c r="C21" s="616" t="s">
        <v>5</v>
      </c>
      <c r="D21" s="618">
        <f t="shared" si="0"/>
        <v>17188</v>
      </c>
    </row>
    <row r="22" spans="1:4" ht="22.5" customHeight="1">
      <c r="A22" s="614" t="s">
        <v>1011</v>
      </c>
      <c r="B22" s="621">
        <f>B17</f>
        <v>17.191</v>
      </c>
      <c r="C22" s="616" t="s">
        <v>5</v>
      </c>
      <c r="D22" s="618">
        <f t="shared" si="0"/>
        <v>17191</v>
      </c>
    </row>
    <row r="23" spans="1:4" ht="22.5" customHeight="1">
      <c r="A23" s="614" t="s">
        <v>1012</v>
      </c>
      <c r="B23" s="621">
        <f>B17</f>
        <v>17.191</v>
      </c>
      <c r="C23" s="616" t="s">
        <v>5</v>
      </c>
      <c r="D23" s="618">
        <f t="shared" si="0"/>
        <v>17191</v>
      </c>
    </row>
    <row r="24" spans="1:4" ht="22.5" customHeight="1">
      <c r="A24" s="614" t="s">
        <v>1013</v>
      </c>
      <c r="B24" s="621">
        <f>B17</f>
        <v>17.191</v>
      </c>
      <c r="C24" s="616" t="s">
        <v>5</v>
      </c>
      <c r="D24" s="618">
        <f t="shared" si="0"/>
        <v>17191</v>
      </c>
    </row>
    <row r="25" spans="1:4" ht="22.5" customHeight="1">
      <c r="A25" s="614" t="s">
        <v>1014</v>
      </c>
      <c r="B25" s="621">
        <f>B18</f>
        <v>17.191</v>
      </c>
      <c r="C25" s="616" t="s">
        <v>5</v>
      </c>
      <c r="D25" s="618">
        <f t="shared" si="0"/>
        <v>17191</v>
      </c>
    </row>
    <row r="26" spans="1:4" ht="22.5" customHeight="1">
      <c r="A26" s="614" t="s">
        <v>1015</v>
      </c>
      <c r="B26" s="621">
        <v>25.7</v>
      </c>
      <c r="C26" s="616" t="s">
        <v>5</v>
      </c>
      <c r="D26" s="617"/>
    </row>
    <row r="27" spans="1:7" ht="22.5" customHeight="1">
      <c r="A27" s="614"/>
      <c r="B27" s="621"/>
      <c r="C27" s="616"/>
      <c r="D27" s="613"/>
      <c r="E27" s="613" t="s">
        <v>1016</v>
      </c>
      <c r="F27" s="613" t="s">
        <v>1017</v>
      </c>
      <c r="G27" s="613" t="s">
        <v>1018</v>
      </c>
    </row>
    <row r="28" spans="1:7" ht="22.5" customHeight="1">
      <c r="A28" s="614" t="s">
        <v>1019</v>
      </c>
      <c r="B28" s="621">
        <v>54.65</v>
      </c>
      <c r="C28" s="616" t="s">
        <v>655</v>
      </c>
      <c r="D28" s="613" t="s">
        <v>1020</v>
      </c>
      <c r="E28" s="620">
        <v>0</v>
      </c>
      <c r="F28" s="620">
        <v>0</v>
      </c>
      <c r="G28" s="620" t="s">
        <v>1021</v>
      </c>
    </row>
    <row r="29" spans="1:7" ht="22.5" customHeight="1">
      <c r="A29" s="614" t="s">
        <v>1019</v>
      </c>
      <c r="B29" s="621">
        <f>B28+E29</f>
        <v>88.78</v>
      </c>
      <c r="C29" s="616" t="s">
        <v>655</v>
      </c>
      <c r="D29" s="613" t="s">
        <v>1022</v>
      </c>
      <c r="E29" s="620">
        <v>34.13</v>
      </c>
      <c r="F29" s="620">
        <v>10</v>
      </c>
      <c r="G29" s="620" t="str">
        <f aca="true" t="shared" si="1" ref="G29:G34">$G$28</f>
        <v>25-25.99</v>
      </c>
    </row>
    <row r="30" spans="1:7" ht="22.5" customHeight="1">
      <c r="A30" s="614" t="s">
        <v>1023</v>
      </c>
      <c r="B30" s="621">
        <v>302.18</v>
      </c>
      <c r="C30" s="616" t="s">
        <v>655</v>
      </c>
      <c r="D30" s="613" t="s">
        <v>1020</v>
      </c>
      <c r="E30" s="620">
        <v>0</v>
      </c>
      <c r="F30" s="620">
        <v>0</v>
      </c>
      <c r="G30" s="620" t="str">
        <f t="shared" si="1"/>
        <v>25-25.99</v>
      </c>
    </row>
    <row r="31" spans="1:7" ht="22.5" customHeight="1">
      <c r="A31" s="614" t="s">
        <v>1023</v>
      </c>
      <c r="B31" s="621">
        <f>B30+E31</f>
        <v>322.57</v>
      </c>
      <c r="C31" s="616" t="s">
        <v>655</v>
      </c>
      <c r="D31" s="613" t="s">
        <v>1022</v>
      </c>
      <c r="E31" s="620">
        <v>20.39</v>
      </c>
      <c r="F31" s="620">
        <v>5</v>
      </c>
      <c r="G31" s="620" t="str">
        <f t="shared" si="1"/>
        <v>25-25.99</v>
      </c>
    </row>
    <row r="32" spans="1:7" ht="22.5" customHeight="1">
      <c r="A32" s="614" t="s">
        <v>1024</v>
      </c>
      <c r="B32" s="621">
        <f>B31+40</f>
        <v>362.57</v>
      </c>
      <c r="C32" s="616" t="s">
        <v>655</v>
      </c>
      <c r="D32" s="613" t="s">
        <v>1022</v>
      </c>
      <c r="E32" s="620">
        <f>E31</f>
        <v>20.39</v>
      </c>
      <c r="F32" s="620">
        <f>F31</f>
        <v>5</v>
      </c>
      <c r="G32" s="620" t="str">
        <f t="shared" si="1"/>
        <v>25-25.99</v>
      </c>
    </row>
    <row r="33" spans="1:7" ht="22.5" customHeight="1">
      <c r="A33" s="614" t="s">
        <v>1025</v>
      </c>
      <c r="B33" s="621">
        <v>822.43</v>
      </c>
      <c r="C33" s="616" t="s">
        <v>655</v>
      </c>
      <c r="D33" s="613" t="s">
        <v>1020</v>
      </c>
      <c r="E33" s="620">
        <v>0</v>
      </c>
      <c r="F33" s="620">
        <v>0</v>
      </c>
      <c r="G33" s="620" t="str">
        <f t="shared" si="1"/>
        <v>25-25.99</v>
      </c>
    </row>
    <row r="34" spans="1:7" ht="22.5" customHeight="1">
      <c r="A34" s="614" t="s">
        <v>1025</v>
      </c>
      <c r="B34" s="621">
        <f>B33+E34</f>
        <v>1115.46</v>
      </c>
      <c r="C34" s="616" t="s">
        <v>655</v>
      </c>
      <c r="D34" s="613" t="s">
        <v>1022</v>
      </c>
      <c r="E34" s="620">
        <v>293.03</v>
      </c>
      <c r="F34" s="620">
        <v>90</v>
      </c>
      <c r="G34" s="620" t="str">
        <f t="shared" si="1"/>
        <v>25-25.99</v>
      </c>
    </row>
    <row r="35" spans="1:4" ht="22.5" customHeight="1">
      <c r="A35" s="614" t="s">
        <v>229</v>
      </c>
      <c r="B35" s="621">
        <v>389.72</v>
      </c>
      <c r="C35" s="616" t="s">
        <v>654</v>
      </c>
      <c r="D35" s="617"/>
    </row>
    <row r="36" spans="1:6" ht="22.5" customHeight="1">
      <c r="A36" s="614" t="s">
        <v>1026</v>
      </c>
      <c r="B36" s="621">
        <v>429.91</v>
      </c>
      <c r="C36" s="616" t="s">
        <v>654</v>
      </c>
      <c r="D36" s="617"/>
      <c r="E36" s="613" t="s">
        <v>1027</v>
      </c>
      <c r="F36" s="613" t="s">
        <v>1028</v>
      </c>
    </row>
    <row r="37" spans="1:6" ht="22.5" customHeight="1">
      <c r="A37" s="614" t="s">
        <v>231</v>
      </c>
      <c r="B37" s="621">
        <f>E37/F37</f>
        <v>25.75397727272727</v>
      </c>
      <c r="C37" s="616" t="s">
        <v>5</v>
      </c>
      <c r="D37" s="617"/>
      <c r="E37" s="613">
        <v>453.27</v>
      </c>
      <c r="F37" s="613">
        <v>17.6</v>
      </c>
    </row>
    <row r="38" spans="1:3" ht="22.5" customHeight="1">
      <c r="A38" s="614" t="s">
        <v>1029</v>
      </c>
      <c r="B38" s="621">
        <v>635</v>
      </c>
      <c r="C38" s="616" t="s">
        <v>654</v>
      </c>
    </row>
    <row r="39" spans="1:3" ht="22.5" customHeight="1">
      <c r="A39" s="614" t="s">
        <v>1030</v>
      </c>
      <c r="B39" s="621">
        <v>635</v>
      </c>
      <c r="C39" s="616" t="s">
        <v>654</v>
      </c>
    </row>
    <row r="40" ht="22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ADMIN</cp:lastModifiedBy>
  <cp:lastPrinted>2017-07-20T07:55:45Z</cp:lastPrinted>
  <dcterms:created xsi:type="dcterms:W3CDTF">2003-05-23T03:17:51Z</dcterms:created>
  <dcterms:modified xsi:type="dcterms:W3CDTF">2017-07-20T08:02:53Z</dcterms:modified>
  <cp:category/>
  <cp:version/>
  <cp:contentType/>
  <cp:contentStatus/>
</cp:coreProperties>
</file>